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tabRatio="607" activeTab="0"/>
  </bookViews>
  <sheets>
    <sheet name="прил1" sheetId="1" r:id="rId1"/>
    <sheet name="Прил2" sheetId="2" r:id="rId2"/>
    <sheet name="Прил3" sheetId="3" r:id="rId3"/>
    <sheet name="Прил3.1" sheetId="4" r:id="rId4"/>
    <sheet name="Прил4" sheetId="5" r:id="rId5"/>
    <sheet name="ПРил5" sheetId="6" r:id="rId6"/>
    <sheet name="ПРил6" sheetId="7" r:id="rId7"/>
    <sheet name="Прил7" sheetId="8" r:id="rId8"/>
    <sheet name="Прил8" sheetId="9" r:id="rId9"/>
    <sheet name="прил 9" sheetId="10" r:id="rId10"/>
  </sheets>
  <externalReferences>
    <externalReference r:id="rId13"/>
  </externalReferences>
  <definedNames>
    <definedName name="_xlnm.Print_Area" localSheetId="9">'прил 9'!$A$1:$C$87</definedName>
    <definedName name="_xlnm.Print_Area" localSheetId="0">'прил1'!$A$1:$G$158</definedName>
    <definedName name="_xlnm.Print_Area" localSheetId="1">'Прил2'!$A$1:$M$206</definedName>
    <definedName name="_xlnm.Print_Area" localSheetId="2">'Прил3'!$A$1:$M$339</definedName>
    <definedName name="_xlnm.Print_Area" localSheetId="4">'Прил4'!$A$1:$O$32</definedName>
    <definedName name="_xlnm.Print_Area" localSheetId="5">'ПРил5'!$A$1:$R$125</definedName>
    <definedName name="_xlnm.Print_Area" localSheetId="6">'ПРил6'!$A$1:$G$27</definedName>
    <definedName name="_xlnm.Print_Area" localSheetId="7">'Прил7'!$A$1:$G$149</definedName>
    <definedName name="_xlnm.Print_Area" localSheetId="8">'Прил8'!$A$1:$G$142</definedName>
  </definedNames>
  <calcPr fullCalcOnLoad="1"/>
</workbook>
</file>

<file path=xl/sharedStrings.xml><?xml version="1.0" encoding="utf-8"?>
<sst xmlns="http://schemas.openxmlformats.org/spreadsheetml/2006/main" count="1968" uniqueCount="961">
  <si>
    <t>Мероприятия по реализации Программы освещения деятельности Евпаторийского городского совета, его исполнительных органов, финансовой поддержки(дотации) коммунальных предприятий средств массовой информации в 2012-2015 гг.</t>
  </si>
  <si>
    <t xml:space="preserve">Реконструкция благоустройства у собора св.Николая Чудотворца и мечети Джума-Джами с прилегающим пер.Летным в г.Евпатория (субвенция из бюджета Республики Крым) </t>
  </si>
  <si>
    <t>Реконструкция бытовых и вспомогательных помещений КП "Дворец спорта", по адресу г.Евпаатория проспект Победы 11</t>
  </si>
  <si>
    <t>Субсидия из Федерального бюджета на реализацию мероприятий региональных программ модернизауии здравоохранения республики Крым в 2014 году</t>
  </si>
  <si>
    <t>Капитальный ремонт пищеблоков, вентиляции,ПСД</t>
  </si>
  <si>
    <t>Капитальный ремонт системы отопления ЕУВК, ЕОШ,ДУЗ,ВУВК</t>
  </si>
  <si>
    <t>в т.ч. субвенция из  бюджета  Республики Крым местным бюджетам на частичное возмещение стоимости лекарственных препаратов для лечения лиц с гипертонической болезнью</t>
  </si>
  <si>
    <t>мероприятия по реализации программы поддержки детей и молодежи г.Евпатории на 2006-2011гг. (молодежные трудовые отряды)</t>
  </si>
  <si>
    <t>Помощь детям-сиротам и детям, лишенным родительской опеки, которым исполняется 18 лет</t>
  </si>
  <si>
    <t>в т.ч. субвенция из бюджета Республики Крым на обеспечение государственных гарантий бесплатного оказания гражданам медицинской помощи</t>
  </si>
  <si>
    <t>Программа развития внешкольных учебных заведений города Евпатории на 2012-2015 годы (решение городского совета от 26.08.2011г. №6-12/3)</t>
  </si>
  <si>
    <t>Льготы ветеранам войны, лицам, на которые распространяется действие Закона Украины "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детям войны,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на жилищно-коммунальные услуги (субвенция из  бюджета РК)</t>
  </si>
  <si>
    <t>Субсидии населению для возмещения затрат  на оплату жилищно-коммунальных услуг (субвенция из  бюджета АРК)</t>
  </si>
  <si>
    <t xml:space="preserve">Мероприятия по разработке детальных планов отдельных территорий города </t>
  </si>
  <si>
    <t>Работы по проведению экспертной денежной оценки земельных участков несельскохозяйственного назначения</t>
  </si>
  <si>
    <t>Обновление плана зонирования территории г.Евпатория</t>
  </si>
  <si>
    <t>Корректировка санитарных зон г.Евпатория</t>
  </si>
  <si>
    <t>Подготовка земельных участков несельскохозяйственного назначения или прав на них коммунальной собственности для продажи на земельных торгах и проведения таких торгов</t>
  </si>
  <si>
    <t>Проведение земельных торгов (аукционов) по продаже права аренды  свободных земельных участков несельскохозяйственного назначения</t>
  </si>
  <si>
    <t>Помощь по уходу за ребенком до достижения им  3-х лет (субвенция из бюджета Республики Крым)</t>
  </si>
  <si>
    <t>Помощь при рождении ребенка (субвенция из бюджета Республики Крым)</t>
  </si>
  <si>
    <t>Помощь на детей над которыми установлена опека или попечительство (субвенция из бюджета Республики Крым)</t>
  </si>
  <si>
    <t>Помощь на детей одиноким матерям (субвенция из бюджета Республики Крым)</t>
  </si>
  <si>
    <t>Временная государственная помощь детям (субвенция из бюджета Республики Крым)</t>
  </si>
  <si>
    <t>Установка телефонов инвалидам 1 и 2 групп (субвенция из бюджета Республики Крым)</t>
  </si>
  <si>
    <t>100000</t>
  </si>
  <si>
    <t>130000</t>
  </si>
  <si>
    <t>150000</t>
  </si>
  <si>
    <t>160000</t>
  </si>
  <si>
    <t>170000</t>
  </si>
  <si>
    <t>Расходы на проведение работ, связанных со строительством, реконструкцией, ремонтом и содержанием автомобильных дорог (субвенция из бюджета Республики Крым )</t>
  </si>
  <si>
    <t>Субвенция из бюджета Республики Крым местным бюджетам на частичное возмещение стоимости лекарственных препаратов для лечения лиц с гипертонической болезнью</t>
  </si>
  <si>
    <t>Расходы на проведение работ, связанных со строительством, реконструкцией, ремонтом и содержанием автомобильных дорог (кредиторская  задолженность по субвенция)</t>
  </si>
  <si>
    <t xml:space="preserve">Льготы ветеранам войны, лицам, на которые распространяется действие Закона Украины " О статусе ветеранам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на приобретение твердого топлива и сжиженного газа </t>
  </si>
  <si>
    <t>в т.ч.  на реализацию мероприятий Государственной программы Республики Крым "Модернизация финансовой системы Республики Крым на 2014 год"(Субвенция из бюджета Республики Крым)</t>
  </si>
  <si>
    <t>Субсидии из федерального бюджета бюджету Республики Крым на реализацию мероприятий , включенных в программу Республики Крым, разработанную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населения(субсидия из бюджета Республики Крым)</t>
  </si>
  <si>
    <t>Приложение 6</t>
  </si>
  <si>
    <t>Источники финансирования городского бюджета на 2014 год</t>
  </si>
  <si>
    <t>Код</t>
  </si>
  <si>
    <t>Наименование</t>
  </si>
  <si>
    <t>в т.ч. бюджет развития</t>
  </si>
  <si>
    <t>Финансирование бюджета по типу кредитора</t>
  </si>
  <si>
    <t xml:space="preserve">Внутреннее финансирование </t>
  </si>
  <si>
    <t xml:space="preserve">Финансирование за счет изменения остатков средств бюджетов  </t>
  </si>
  <si>
    <t>На начало периода</t>
  </si>
  <si>
    <t>На конец периода</t>
  </si>
  <si>
    <t>Льготы пенсионерам из числа специалистов по защите растений, предусмотренные частью четвертой статьи 20 Закона Украины "О защите растений", гражданам, предусмотренные пунктом "и" части первой статьи 77 Основ законодательства об охране здоровья, частью четвертой статьи 29 Основ законодательства о культуре, частью второй статьи 30 Закона Украини "О библиотеках и библиотечном деле", абзацем первым части четвертой статьи 57 Закона Украины "Об образовании", на бесплатное пользование жильем, отоплением и освещением" (субвенция из бюджета Республики Крым)</t>
  </si>
  <si>
    <t>Льготы на медицинское обслуживание гражданам, которые пострадали вследствие Чернобыльской катастрофы (субвенция из бюджета Республики Крым)</t>
  </si>
  <si>
    <t>Льготы отдельным категориям граждан на услуги связи (субвенция из бюджета Республики Крым)</t>
  </si>
  <si>
    <t>Льготы  многодетным семьям на жилищно-коммунальные услуги (субвенция из бюджета Республики Крым)</t>
  </si>
  <si>
    <t>Льготы многодетным семьям на приобретение твердого топлива и сжиженного газа (субвенция из бюджета Республики Крым)</t>
  </si>
  <si>
    <t>Помощь в связи с беременностью и родами (субвенция из бюджета Республики Крым)</t>
  </si>
  <si>
    <t>Субвенция на осуществление органами местного самоуправления муниципальных образований отдельных государственных полномочий РК в сфере архивного дела ( субвенция из бюджета Республики Крым)</t>
  </si>
  <si>
    <t>Субвенция на осуществление органами местного самоуправления муниципальных образований отдельных государственных полномочий  в сфере социальной защиты населения РК ( субвенция из бюджета Республики Крым)</t>
  </si>
  <si>
    <t>Установка телефонов инвалидам 1 и 2 групп (субвенция из бюджета РК)</t>
  </si>
  <si>
    <t>Детские дома (в том числе семейного типа, приемные семьи) (субвенция )</t>
  </si>
  <si>
    <t>Льготы ветеранам войны, лицам, на которые распространяется действие Закона Украины "О статусе ветеранам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на приобретение твердого топлива и сжиженного газа (субвенция из бюджета Республики Крым)</t>
  </si>
  <si>
    <t>Сбор за осуществление торговой деятельности (ресторанное хозяйство), уплаченный физическими лицами</t>
  </si>
  <si>
    <t>Сбор за осуществление торговой деятельности (оптовая торговля), уплаченный юридическими лицами</t>
  </si>
  <si>
    <t>Сбор за осуществление торговой деятельности (ресторанное хозяйство), уплаченный юридическими лицами</t>
  </si>
  <si>
    <t>Сбор за осуществление торговой деятельности от приобретения льготного торгового патента</t>
  </si>
  <si>
    <t>Сбор за осуществление деятельности от предоставления платных услуг, уплаченный юридическими лицами</t>
  </si>
  <si>
    <t xml:space="preserve">Сбор за осуществление торговой деятельности нефтепродуктами, сжиженным и сжатым газом на стационарных, малогабаритных и передвижных автозаправочных станциях, заправочных пунктах </t>
  </si>
  <si>
    <t>Сбор за осуществление деятельности в сфере развлечений, уплаченный юридическими лицами</t>
  </si>
  <si>
    <t>Сбор за осуществление деятельности в сфере развлечений, уплаченный физическими лицами</t>
  </si>
  <si>
    <t>Единый налог</t>
  </si>
  <si>
    <t>Единый налог с юридических лиц</t>
  </si>
  <si>
    <t>Единый налог с физических лиц</t>
  </si>
  <si>
    <t>Прочие налоги и сборы</t>
  </si>
  <si>
    <t>Экологический налог</t>
  </si>
  <si>
    <t>Поступление от выбросов загрязняющих веществ в атмосферный воздух стационарными источниками загрязнения</t>
  </si>
  <si>
    <t>Поступление от размещения отходов в специально отведенных для этого местах или на объектах, кроме размещения отдельных видов отходов как вторичного сырья</t>
  </si>
  <si>
    <t>Неналоговые поступления</t>
  </si>
  <si>
    <t>Доходы от собственности и предпринимательской деятельности</t>
  </si>
  <si>
    <t>090216</t>
  </si>
  <si>
    <t>090406</t>
  </si>
  <si>
    <t>Капитальные вложения ( Субвенция из бюджета Республики Крым)</t>
  </si>
  <si>
    <t>Комплексная Программа поддержки семьи, детей, молодежи, обеспечения равных прав и возможностей женщин и мужчин в г.Евпатории на 2012-2015 годы (решение городского совета от 24.06.2011г. №6-9/2)</t>
  </si>
  <si>
    <t>О70401</t>
  </si>
  <si>
    <t>Предоставление внешкольного образования внешкольными учреждениями образования, мероприятия по внешкольной работе с детьми</t>
  </si>
  <si>
    <t>Программа развития внешкольных учебных заведений города  Евпратории  на 2012-2015 годы (решение городского совета от 26.08.2011г. №6-12/3)</t>
  </si>
  <si>
    <t>Содержания и учебно-тренировочная работа детско-юношеских спортивных школ</t>
  </si>
  <si>
    <t>Программа развития массовой физической культуры и спорта высших достижений города Евпатории на 2012-2015 годы (решение городского совета от 26.08.2011г. №6-12/2)</t>
  </si>
  <si>
    <t>Программа развития образования в городе Евпатории на 2013-2016 годы (решение городского совета от 27.07.2012г. №6-26/6)</t>
  </si>
  <si>
    <t>Программа освещения деятельности Евпаторийского городского совета, его исполнительных органов, финансовой поддержки (дотации) коммунальных предприятий средств массовой информации в 2012-2015гг( решение городского совета от 27.01.2012 №6-20/10)</t>
  </si>
  <si>
    <t>Городская программа "Здоровье жителей города Евпатории на 2012-2015 годы(решение городского совета от 25.11.2011года №6-16/26)</t>
  </si>
  <si>
    <t>Программа обеспечения мероприятий, по подготовке граждан Украины проживающих в г.Евпатории к военной службе, службе в запасе и совершенствованию мобилизационной подготовки города Евпатория в 2010-2015 годы (решение городского совета от 25.11.2011г. №6-16/11)</t>
  </si>
  <si>
    <t>Программа охраны и улучшения состояния окружающей природной среды на территории г.Евпатории на 2010-2015гг (решение городского совета от 30.10.2009г. №5-51/9)</t>
  </si>
  <si>
    <t>Управление  здравоохранения Евпаторийского городского совета</t>
  </si>
  <si>
    <t>О80101</t>
  </si>
  <si>
    <t>О80102</t>
  </si>
  <si>
    <t>О81007</t>
  </si>
  <si>
    <t>О81010</t>
  </si>
  <si>
    <t>О81008</t>
  </si>
  <si>
    <t>О81009</t>
  </si>
  <si>
    <t>О81002</t>
  </si>
  <si>
    <t>О80500</t>
  </si>
  <si>
    <t>О81003</t>
  </si>
  <si>
    <t>О80800</t>
  </si>
  <si>
    <t>Городская программа "Информатизация здравоохранения города Евпатории на 2012-2015 годы" (решение городского совета от 25.11.2011года №6-16/27)</t>
  </si>
  <si>
    <t>Комплексная  программа социальной поддержки инвалидов и других социально незащищенных категорий граждан г.Евпатория "Забота" на 2012-2015 годы (решение городского совета от 26.08.2011г. №6-12/5)</t>
  </si>
  <si>
    <t>Комплексная программа обеспечения межнационального согласия, обустройства и социально-культурного развития депортированных граждан в г.Евпатория на 2012-2015 годы (решение городского совета от 24.06.2011г. №6-9/3)</t>
  </si>
  <si>
    <t>Проведение учебно-тренировочных сборов и соревнований</t>
  </si>
  <si>
    <t>Управление труда и социальной защиты населения Евпаторийского городского совета</t>
  </si>
  <si>
    <t>О91204</t>
  </si>
  <si>
    <t>Льготы ветеранам войны, лицам, на которые распространяется действие Закона Украины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детям войны,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на жилищно-коммунальные услуги (субвенция из бюджета Республики Крым)</t>
  </si>
  <si>
    <t>в т.ч. льготы инвалидам 1 группы и неработающим (нетрудоспособным) инвалидам 2 группы (независимо от причин инвалидности ), инвалидам с нарушением органов слуха и по зрению (независимо от группы), детям-инвалидам до 18 лет, не находящимся на полном государственном обеспечении, с учетом одного из членов семьи, осуществляющего уход за ребенком-инвалидом, с 25-процентной скидкой на приобретение твердого топлива и сжиженного газа</t>
  </si>
  <si>
    <t xml:space="preserve">Компенсационные выплаты инвалидам на бензин, ремонт, техобслуживание автотранспорта и транспортное обслуживание </t>
  </si>
  <si>
    <t>О91303</t>
  </si>
  <si>
    <t xml:space="preserve">Установка телефонов инвалидам 1 и 2 групп </t>
  </si>
  <si>
    <t>О91304</t>
  </si>
  <si>
    <t>от 29.12.2014г.  № 1-12/10</t>
  </si>
  <si>
    <t xml:space="preserve">от 29.12.2014г. № 1-12/10  </t>
  </si>
  <si>
    <t xml:space="preserve">от 29.12.2014г. № 1-12/10 </t>
  </si>
  <si>
    <t xml:space="preserve">от 29.12.2014г. № 1-12/10   </t>
  </si>
  <si>
    <r>
      <t xml:space="preserve">от 29.12.2014г.  № 1-12/10 </t>
    </r>
    <r>
      <rPr>
        <sz val="12"/>
        <rFont val="Times New Roman"/>
        <family val="1"/>
      </rPr>
      <t xml:space="preserve"> </t>
    </r>
  </si>
  <si>
    <t xml:space="preserve">от 29.12.2014г.  № 1-12/10  </t>
  </si>
  <si>
    <t>Субсидии, предоставляемые в 2014 году из федерального бюджета  бюджетам субъектов  Российской федерации  на проведение мероприятий по формированию в субъектах Российской Федерации сети базовых общеобразовательных организаций, в которых созданы условия для инклюзивного образования детей-инвалидов, в рамках реализациигосударственной программы Российской Федерации "Доступная среда на 2011-2015 годы"</t>
  </si>
  <si>
    <t xml:space="preserve">криминально-исполнительной системы, государственной пожарной охраны, погибших в связи с выполнением служебных обязанностей нетрудоспособным членам семей, которые находились на иждивении, на приобретение твердого топлива (субвенция из бюджета Республики Крым) </t>
  </si>
  <si>
    <t xml:space="preserve">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  на жилищно-коммунальные услуги (субвенция из Государственного бюджета Украины) </t>
  </si>
  <si>
    <t>Прочие 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 (субвенция из бюджета Республики Крым)</t>
  </si>
  <si>
    <t>Прочие льготы ветеранам войны, лицам, на которые распространяется действие Закона Украины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ветеранам труда,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(субвенция из бюджета Республики Крым)</t>
  </si>
  <si>
    <t>Льготы отдельным категориям граждан на услуги связи (субвенция из Государственного бюджета Украины)</t>
  </si>
  <si>
    <t>Льготы  многодетным семьям на жилищно-коммунальные услуги (субвенция из Государственного бюджета Украины)</t>
  </si>
  <si>
    <t>Землеустройство</t>
  </si>
  <si>
    <t>Сельское и лесное хозяйство, рыбное хозяйство и охота</t>
  </si>
  <si>
    <t xml:space="preserve">комплексная городская  программа санаторно-курортного и туристического комплекса г.Евпатории на 2012-2015годы </t>
  </si>
  <si>
    <t>Подготовка земельных участков несельскохозяйственного назначения или прав на них коммунальной собственности для продажи на земельных торгах и проведение таких торгов</t>
  </si>
  <si>
    <t>Методическая работа, другие мероприятия в сфере народного образования</t>
  </si>
  <si>
    <t>Централизованные бухгалтерии областных, городских, районных отделов образования</t>
  </si>
  <si>
    <t xml:space="preserve">Помощь по уходу за инвалидом 1 и 2 группы вследствие психического расстройства </t>
  </si>
  <si>
    <t>091207</t>
  </si>
  <si>
    <t>в т.ч. на социальную женщинам,удостоенным почетного звания Украины "Мать-героиня", проживающим в Автономной Республики Крым на жилищно-коммунальные услуги (субвенция из бюджета Республики Крым)</t>
  </si>
  <si>
    <t>Государственная социальная помощь инвалидам с детства и детям-инвалидам (субвенция из бюджета Республики Крым)</t>
  </si>
  <si>
    <t>Управление капитального строительства Евпаторийского городского совета</t>
  </si>
  <si>
    <t>210106</t>
  </si>
  <si>
    <t>250102</t>
  </si>
  <si>
    <t>250311</t>
  </si>
  <si>
    <t>250315</t>
  </si>
  <si>
    <t>250352</t>
  </si>
  <si>
    <t>250380</t>
  </si>
  <si>
    <t>Наименование главного распорядителя бюджетных средств</t>
  </si>
  <si>
    <t>Внешкольные учебные заведения, мероприятия по внешкольной работе с детьми</t>
  </si>
  <si>
    <t>к решению городского совета</t>
  </si>
  <si>
    <t>Содержание клубов подростков по месту жительства</t>
  </si>
  <si>
    <t>Спортмероприятия</t>
  </si>
  <si>
    <t>Управление по делам семьи и молодежи Евпаторийского городского совета</t>
  </si>
  <si>
    <t>Компенсационные выплаты за льготный проезд отдельных категорий граждан на железнодорожном транспорте (субвенция из бюджета Республики Крым)</t>
  </si>
  <si>
    <t>Приложение 5</t>
  </si>
  <si>
    <r>
      <t>Распределение</t>
    </r>
    <r>
      <rPr>
        <sz val="28"/>
        <rFont val="Times New Roman"/>
        <family val="1"/>
      </rPr>
      <t xml:space="preserve"> </t>
    </r>
    <r>
      <rPr>
        <b/>
        <sz val="28"/>
        <rFont val="Times New Roman"/>
        <family val="1"/>
      </rPr>
      <t>субвенций из Государственного бюджета Украины  на 2014 год</t>
    </r>
  </si>
  <si>
    <t>Наименование расходов по КФК</t>
  </si>
  <si>
    <t xml:space="preserve">КФК </t>
  </si>
  <si>
    <t>Общий фонд</t>
  </si>
  <si>
    <t>Всего по общему фонду</t>
  </si>
  <si>
    <t>Специальный фонд</t>
  </si>
  <si>
    <t>На инвестиционные проекты по социально-экономическому развитию ( субвенция из бюджета Республики Крым)</t>
  </si>
  <si>
    <t>Капитальный ремонт жилого фонда (погашение задолженности за 2013 год)</t>
  </si>
  <si>
    <t>Капитальный ремонт сетей наружного освещения (погашение задолженности за 2013 год)</t>
  </si>
  <si>
    <t xml:space="preserve">Приобретение контейнеров </t>
  </si>
  <si>
    <t>Капитальный ремонт контейнерных площадок</t>
  </si>
  <si>
    <t>Обустройство остановок общественного транспорта</t>
  </si>
  <si>
    <t>Приобретение  и установка туалетов(погашение задолженности за 2013 год)</t>
  </si>
  <si>
    <t>Капитальный ремонт улично-дорожной сети (погашение задолженности за 2013 год)</t>
  </si>
  <si>
    <t>Приобретение принтера формата А3 с дуплексом (погашение задолженности за 2013 год)</t>
  </si>
  <si>
    <t>Капитальный ремонт придомовой территории по ул.Эскадронная,9 (погашение задолженности за 2013 год)</t>
  </si>
  <si>
    <t>Капитальный ремонт (обустройство велосипедной дороги от ул.Полупанова по Набережной до оз.Мойнаки)</t>
  </si>
  <si>
    <t>Капитальный ремонт кровли жилого жома  (в т.ч.ПИР, экспертиза) по ул.Л.Украинки, 14в г.Евпатория (субвенция из бюджета Республики Крым)</t>
  </si>
  <si>
    <t>Капитальный ремонт кровли жилого дома (в т.ч. ПИР, экспертиза) по ул.9 Мая,75 в г.Евпатория(субвенция из бюджета Республики Крым)</t>
  </si>
  <si>
    <t>Капитальный ремонт кровли жилого дома (в т.ч.ПИР, экспертиза) по ул.Интернационавльная, 135 в г.Евпатория(субвенция из бюджета Республики Крым)</t>
  </si>
  <si>
    <t>Капитальный ремонт кровли жилого дома (в т.ч.ПИР, экспертиза) по ул.60 лет Октября, 20а  в г.Евпатория(субвенция из бюджета Республики Крым)</t>
  </si>
  <si>
    <t>Капитальный ремонт лифтов (в т.ч. экспертиза) по ул. Чапаева, 83, подъезды 1,2 в г.Евпатория(субвенция из бюджета Республики Крым)</t>
  </si>
  <si>
    <t>Капитальный ремонт лифтов (в т.ч. экспертиза) по ул. Интернациональная,146  подъезд (2) в г.Евпатория(субвенция из бюджета Республики Крым)</t>
  </si>
  <si>
    <t>О80203</t>
  </si>
  <si>
    <t>Капитальный ремонт второго этажа родильного отделения</t>
  </si>
  <si>
    <t>Капитальный ремонт кабинета маммографии</t>
  </si>
  <si>
    <t>Субвенция из Новоозерновского поселкового бюджета городскому бюджету (возврат субвенции на осуществление расходов по выплате заработной платы)</t>
  </si>
  <si>
    <t>Субвенция из Заозерненского поселкового бюджета городскому бюджету (возврат субвенции на осуществление расходов по выплате заработной платы)</t>
  </si>
  <si>
    <t>41034800Субвенция из государственного бюджета местным бюджетам на частичное возмещение стоимости лекарственных препаратов для лечения лиц с гипертонической болезнью</t>
  </si>
  <si>
    <t>Субвенция  из государственного бюджета местным бюджетам на обеспечение питания (завтраками) учеников 5-11 классов общеобразовательных учебных заведение</t>
  </si>
  <si>
    <t>Компенсационные выплаты на льготный проезд электротранспортом отдельным категориям граждан (субвенция из Государственного бюджета Украины)</t>
  </si>
  <si>
    <t>Расходы за счет иных межбюджетных трансфертов бюджету Республики Крым на финансовое обеспечение в 2014 году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</si>
  <si>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мероприятия по программе поддержки и развития малого предпринимательства</t>
  </si>
  <si>
    <t>Расходы на проведение работ, связанных со строительством, реконструкцией, ремонтом и содержанием автомобильных дорог (кредиторская задолженность)</t>
  </si>
  <si>
    <t>Охрана и рациональное использование земель</t>
  </si>
  <si>
    <t>Транспорт, дорожное хозяйство, связь, телекоммуникации и информатика</t>
  </si>
  <si>
    <t>Межбюджетные трансферты</t>
  </si>
  <si>
    <t>Расходы общего фонда</t>
  </si>
  <si>
    <t xml:space="preserve">Служба по делам детей Евпаторийского городского совета </t>
  </si>
  <si>
    <t>Выплаты денежной компенсации физическим лицам, которые предоставляют социальные услуги гражданам преклонного возраста, инвалидам, детям-инвалидам, больным, не способным к самообслуживанию и требующим посторонней помощи</t>
  </si>
  <si>
    <t>Целевые фонды, созданные Верховным Советом Автономной Республики Крым, органами местного самоуправления и местными органами исполнительной власти</t>
  </si>
  <si>
    <t>Управление торговли и административных услуг</t>
  </si>
  <si>
    <t xml:space="preserve">Проведение учебно-тренировочных сборов и соревнований </t>
  </si>
  <si>
    <t>Компенсационные выплаты инвалидам на бензин, ремонт, техобслуживание автотранспорта и транспортное обслуживание (субвенция из бюджета РК)</t>
  </si>
  <si>
    <t>Сбор за осуществление торговой деятельности (оптовая торговля), уплаченный физическими лицами</t>
  </si>
  <si>
    <t>Программа развития коммунального учреждения "Евпаторийский городской территориальный центр социального обслуживания (предоставление социальных услуг)" на 2013-2015 годы (решение городского совета от 27.06.2012 № 6-25/2)</t>
  </si>
  <si>
    <t>О91205</t>
  </si>
  <si>
    <t>Льготы, которые предоставляются населению (кроме ветеранов войны и труда, войсковой службы, органов внутренних дел и гражданам, которые пострадали вследствие Чернобыльской катастрофы), на оплату жилищно-коммунальных услуг и природного газа</t>
  </si>
  <si>
    <t>О91209</t>
  </si>
  <si>
    <t>О91103</t>
  </si>
  <si>
    <t>О91106</t>
  </si>
  <si>
    <t>Другие расходы</t>
  </si>
  <si>
    <t>О91105</t>
  </si>
  <si>
    <t>Программа охраны и улучшения состояния окружающей природной среды на территории города Евпатории на 2010-2015 годы (решение городского совета от 30.10.2009г. №5-51/9)</t>
  </si>
  <si>
    <t>Департамент по развитию территории  Евпаторийского городского совета</t>
  </si>
  <si>
    <t>Программа развития земельных отношений на территории города Евпатории на 2010-2015 годы (решение городского совета от 02.07.2010г. №5-62/2)</t>
  </si>
  <si>
    <t>Программы создания Службы градостроительного кадастра в г.Евпатория на 2012-2015гг.( решение городского совета от 28.12.2011г №6-19/9)</t>
  </si>
  <si>
    <t>Программа развития и реформирования жилищно коммунального хозяйства в г.Евпатории на 2011-2015гг ( решение городского совета от26.11.2010г.  №6-2/4)</t>
  </si>
  <si>
    <t>Комплексная программа гражданской защиты населения и территорий г.Евпатории на 2011-2015 годы (решение городского совета от 25.11.2011г. №6-16/10)</t>
  </si>
  <si>
    <t>О3</t>
  </si>
  <si>
    <t>Программа содействия развитию гражданского общества в г.Евпатории на 2014-2017 годы (решение городского совета от 23.08.2013г. № 6-45/3)</t>
  </si>
  <si>
    <t>Управление торговли и административных услуг Евпаторийского городского совета</t>
  </si>
  <si>
    <t xml:space="preserve">Программа  развития малого и среднего предпринимательства в г.Евпатория на 2013-2015 годы (решение городского совета от 28.12.2012г. №6-36/4) </t>
  </si>
  <si>
    <t>41010900 Иные межбюджетные трансферты на финансовое обеспечение мероприятий по модернизации региональных систем образования Республики Крым</t>
  </si>
  <si>
    <t>Код бюджета</t>
  </si>
  <si>
    <t>Наименование АТЕ</t>
  </si>
  <si>
    <t>Межбюджетные трансферты из городского бюджета</t>
  </si>
  <si>
    <t>Дотация выравнивания из государственного бюджета местным бюджетам</t>
  </si>
  <si>
    <t xml:space="preserve">Прочие дополнительные  дотации (дотация выравнивания)  из  бюджета  Республики Крым </t>
  </si>
  <si>
    <t>Субвенция из городского бюджета  на осуществление расходов, связанных с функционированием врачебной амбулатории, расположенной в поселке</t>
  </si>
  <si>
    <t>Субвенция из  бюджета  Республики Крым местным бюджетам на частичное возмещение стоимости лекарственных препаратов для лечения лиц с гипертонической болезнью</t>
  </si>
  <si>
    <t xml:space="preserve">Прочая субвенция из городского бюджета поселковым бюджетам на осуществление расходов по выплате заработной платы </t>
  </si>
  <si>
    <t xml:space="preserve">Всего по общему фонду </t>
  </si>
  <si>
    <t>Субвенция из  государственного бюджета  на строительство, реконструкцию, ремонт и содержание улиц и дорог коммунальной собственности в населенных пунктах</t>
  </si>
  <si>
    <t>Субвенция из  бюджета   Республики Крым на строительство, реконструкцию, ремонт и содержание улиц и дорог коммунальной собственности в населенных пунктах</t>
  </si>
  <si>
    <t>сумма</t>
  </si>
  <si>
    <t>ежедневный норматив отчислений</t>
  </si>
  <si>
    <t>О1205401000</t>
  </si>
  <si>
    <t>п.Заозерное</t>
  </si>
  <si>
    <t>О1205402000</t>
  </si>
  <si>
    <t>п.Мирный</t>
  </si>
  <si>
    <t>О1205403000</t>
  </si>
  <si>
    <t>п.Новоозерный</t>
  </si>
  <si>
    <t>Всего по поселкам</t>
  </si>
  <si>
    <t>Государственный бюджет</t>
  </si>
  <si>
    <t xml:space="preserve">Бюджет  Республики Крым </t>
  </si>
  <si>
    <t xml:space="preserve"> Межбюджетные трансферты, которые поступают в городской бюджет</t>
  </si>
  <si>
    <t xml:space="preserve"> Общий фонд</t>
  </si>
  <si>
    <t>Средства, которые поступают в районные и городские (городов Киева и Севастополя, городов республиканского и областного значения) бюджеты из городских (городов районного значения), поселковых, сельских и районных в городах бюджетов</t>
  </si>
  <si>
    <t>Субвенции из поселковых бюджетов на увеличение финансовых нормативов для оказания социальных услуг получателям, проживающим в границах территориальных громады поселковых советов, на оказание услуг  в рамках программы "Здоровые дети пгт. Заозерное"</t>
  </si>
  <si>
    <t xml:space="preserve"> Субвенция из поселковых бюджетов городскому бюджету (возврат прочей субвенции на осуществление расходов по выплате заработной платы )</t>
  </si>
  <si>
    <t>Субвенция из поселковых бюджетов на увеличение финансовых нормативов для оказания социальных услуг получателям, проживающим в границах территориальных громад поселковых советов, на оказание услуг первичной медицинской помощи врачебными амбулаториями, расположенными в поселках</t>
  </si>
  <si>
    <t>Субсидии населению для возмещения затрат на приобретение твердого и жидкого печного бытового топлива топлива и сжиженного газа (субвенция из бюджета Республики Крым)</t>
  </si>
  <si>
    <t>090414</t>
  </si>
  <si>
    <t>080800</t>
  </si>
  <si>
    <t>250360</t>
  </si>
  <si>
    <t>170703</t>
  </si>
  <si>
    <t>070201</t>
  </si>
  <si>
    <t>250354</t>
  </si>
  <si>
    <t>170302</t>
  </si>
  <si>
    <t>170602</t>
  </si>
  <si>
    <t>110204</t>
  </si>
  <si>
    <t>110102</t>
  </si>
  <si>
    <t>110201</t>
  </si>
  <si>
    <t>110202</t>
  </si>
  <si>
    <t>110205</t>
  </si>
  <si>
    <t>180404</t>
  </si>
  <si>
    <t>210105</t>
  </si>
  <si>
    <t>100203</t>
  </si>
  <si>
    <t>Благоустрій міст, сіл, селищ</t>
  </si>
  <si>
    <t>160101</t>
  </si>
  <si>
    <t>200200</t>
  </si>
  <si>
    <t>250500</t>
  </si>
  <si>
    <t>в т.ч. субвенция из бюджета Республики Крым местным бюджетам на частичное возмещение стоимости лекарственных препаратов для лечения лиц с гипертонической болезнью</t>
  </si>
  <si>
    <t>090000</t>
  </si>
  <si>
    <t xml:space="preserve">Компенсационные выплаты на льготный проезд автомобильным транспортом отдельных категорий граждан </t>
  </si>
  <si>
    <t>Компенсационные выплаты за льготный проезд отдельных категорий граждан на железнодорожном транспорте</t>
  </si>
  <si>
    <t xml:space="preserve">Компенсационные выплаты на льготный проезд электротранспортом отдельных категорий граждан </t>
  </si>
  <si>
    <t>Льготы ветеранам войны, лицам, на которые распространяется действие Закона Украины " О статусе ветеранам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на приобретение твердого топлива и сжиженного газа.</t>
  </si>
  <si>
    <t>Льготы ветеранам военной службы, ветеранам органов внутренних дел, ветеранам налоговой милиции, ветеранам государственной пожарной охраны, ветеранам Государственной криминально-исполнительной службы, ветеранам службы гражданской защиты, ветеранам Государственной  службы специальной связи и защиты информации Украины, вдовам (вдовцам) умерших (погибших) ветеранов военной службы, ветеранов органов внутренних дел, ветеранов налоговой милиции, ветеранов государственной пожарной охраны, ветеранов Государственной криминально-исполнительной службы, ветеранов службы гражданской защиты, ветеранов Государственной  службы специальной связи и защиты информации Украины,и государственной пожарной охраны, а также уволенным со службы по годам, болезни или выслугой лет работникам милиции, лицам начальствующего состава налоговой милиции, рядового и начальствующего состава криминально-исполнительной системы, государственной пожарной охраны, детям (до достижения полнолетия) работников милиции, лиц начальствующего состава налоговой милиции, рядового и начальствующего состава</t>
  </si>
  <si>
    <t xml:space="preserve"> в т.ч. на предоставление льгот отдельным категориям граждан на жилищно-коммунальные услуги (субвенция из бюджета Республики Крым)</t>
  </si>
  <si>
    <t>Субвенция из Федерального бюджета на реализацию мероприятий региональных программ модернизауии здравоохранения республики Крым в 2014 году</t>
  </si>
  <si>
    <t>Субсидии из федерального бюджета бюджету Республики Крым на реализацию мероприятий , включенных в программу Республики Крым, разработанную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населения(субсидии из бюджета Республики Крым)</t>
  </si>
  <si>
    <t>Код типової відомчої класифікації видатків</t>
  </si>
  <si>
    <t>13=3+6</t>
  </si>
  <si>
    <t>010116</t>
  </si>
  <si>
    <t>180410</t>
  </si>
  <si>
    <t>240900</t>
  </si>
  <si>
    <t>250404</t>
  </si>
  <si>
    <t>070000</t>
  </si>
  <si>
    <t>070101</t>
  </si>
  <si>
    <t>070401</t>
  </si>
  <si>
    <t>070802</t>
  </si>
  <si>
    <t>070804</t>
  </si>
  <si>
    <t>070805</t>
  </si>
  <si>
    <t>070808</t>
  </si>
  <si>
    <t>091108</t>
  </si>
  <si>
    <t>130107</t>
  </si>
  <si>
    <t>210107</t>
  </si>
  <si>
    <t>240601</t>
  </si>
  <si>
    <t>091101</t>
  </si>
  <si>
    <t>091103</t>
  </si>
  <si>
    <t>091105</t>
  </si>
  <si>
    <t>091106</t>
  </si>
  <si>
    <t>130102</t>
  </si>
  <si>
    <t>130110</t>
  </si>
  <si>
    <t>Часть чистой прибыли (доходу) государственных или коммунальных унитарных предприятий и их объединений, которая отчисляется в соответствующий бюджет, и дивиденды (доход), начисленные на акции (доли , паи) хозяйственных обществ, в уставных капиталах которых есть государственная или коммунальная собственность</t>
  </si>
  <si>
    <t>Часть чистой прибыли (доходу) коммунальных унитарных предприятий и их объединений, которая отчисляется в соответствующий местный бюджет</t>
  </si>
  <si>
    <t>Прочие поступления</t>
  </si>
  <si>
    <t>Компенсация лицам, которые в соответствии со статьями 43 и 48 Горного закона Украины имеют право на бесплатное получение угля на бытовые нужды, но проживают в домах, имеющих центральное отопление (субвенция из Государственного бюджета Украины)</t>
  </si>
  <si>
    <t>Больницы</t>
  </si>
  <si>
    <t>Центры первичной медицинской (медико-санитарной) помощи</t>
  </si>
  <si>
    <t>Льготы ветеранам войны, лицам, на которые распространяется действие Закона Украины "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детям войны,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на жилищно-коммунальные услуги (субвенция из госбюджета Украины)</t>
  </si>
  <si>
    <t xml:space="preserve"> Льготы ветеранам военной службы, ветеранам органов внутренних дел, ветеранам налоговой милиции, ветеранам государственной пожарной охраны, ветеранам Государственной криминально-исполнительной службы, ветеранам службы гражданской защиты, ветеранам  Государственной службы специальной связи и защиты информации Украины, вдовам (вдовцам) умерших (погибших) ветеранов военной службы, ветеранов органов внутренних дел, ветеранов налоговой милиции, ветеранов государственной пожарной охраны, </t>
  </si>
  <si>
    <t>Финансирование по активным операциям</t>
  </si>
  <si>
    <t>Изменения объемов наличных средств</t>
  </si>
  <si>
    <t>Всего по типу долгового обязательства</t>
  </si>
  <si>
    <t>Проведение капитального ремонта  коммунального учреждения охраны здоровья "Евпаторийская городская больница №1"</t>
  </si>
  <si>
    <t>Расходы на проведение работ, связанных со строительством, реконструкцией, ремонтом и содержанием автомобильных дорог ( субвенция из бюджета  Республики Крым )</t>
  </si>
  <si>
    <t>090204</t>
  </si>
  <si>
    <t>Помощь в связи с беременностью и родами</t>
  </si>
  <si>
    <t>Помощь по уходу за ребенком до достижения им  3-х лет</t>
  </si>
  <si>
    <t>Государственная социальная помощь малообеспеченным семьям</t>
  </si>
  <si>
    <t>090201</t>
  </si>
  <si>
    <t>Службы технического надзора по строительству и капитальному ремонту, централизованные бухгалтерии, группы централизованного хозяйственного обслуживания</t>
  </si>
  <si>
    <t>в т.ч.мероприятия по программе поддержки и развития малого предпринимательства</t>
  </si>
  <si>
    <t>Мероприятия  и работы  по  мобилизационной подготовке местного значения</t>
  </si>
  <si>
    <t>Помощь на детей над которыми установлена  опека или  попечительство (субвенция из Государственного бюджета Украины)</t>
  </si>
  <si>
    <t>Помощь на детей одиноким матерям (субвенция из Государственного бюджета Украины)</t>
  </si>
  <si>
    <t xml:space="preserve">Другие мероприятия, связанные с экономической деятельностью </t>
  </si>
  <si>
    <t>Общеобразовательные школы (в том числе школа-детский сад, интернат при школе), специализированные школы, лицеи, гимназии, коллегиумы</t>
  </si>
  <si>
    <t>150202</t>
  </si>
  <si>
    <t>150101</t>
  </si>
  <si>
    <t>Территориальные медицинские объединения</t>
  </si>
  <si>
    <t>Помощь при рождении ребенка (субвенция из Государственного бюджета Украины)</t>
  </si>
  <si>
    <t>в т.ч.субвенция из Государственного бюджета Украины</t>
  </si>
  <si>
    <t>в т.ч. из  бюджета  Республики Крым</t>
  </si>
  <si>
    <t>Льготы многодетным семьям на приобретение твердого топлива и сжиженного газа</t>
  </si>
  <si>
    <t>Помощь при рождении ребенка</t>
  </si>
  <si>
    <t>Капитальный ремонт общеобразовательной школы№12, учебно-воспитательного комплекса "Гимназия им.И.Сельвинского", учебно-воспитательного комплекса "Интеграл",общеобразовательной школы №18, учебно-воспитательного комплекса "Школа №14-лицей", общеобразовательной школы №2</t>
  </si>
  <si>
    <t>О10116</t>
  </si>
  <si>
    <t>Контрольно-счетный орган - контрольнол-счетная палата городского округа Евпатория</t>
  </si>
  <si>
    <t xml:space="preserve">Евпаторийский городской совет Республики Крым </t>
  </si>
  <si>
    <t>Приложение 3.1</t>
  </si>
  <si>
    <t>Государственная социальная помощь инвалидам с детства и детям-инвалидам (субвенция из Государственного бюджета Украины)</t>
  </si>
  <si>
    <t>Субвенция из  бюджета Автономной Республики Крым местным бюджетам на частичное возмещение стоимости лекарственных препаратов для лечения лиц с гипертонической болезнью</t>
  </si>
  <si>
    <t>Поддержка малого и среднего предпринимательства</t>
  </si>
  <si>
    <t>Родильные дома</t>
  </si>
  <si>
    <t xml:space="preserve">Льготы гражданам, которые пострадали вследствие Чернобыльской катастрофы, женам (мужьям) и опекунам (на момент опекунства) детей умерших гражлан, смерть которых связана с Чернобыльской катастрофой, на приобретение твердого топлива (субвенция из бюджета Республики Крым) </t>
  </si>
  <si>
    <t>Прочие 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 (субвенция из Государственного бюджета Украины)</t>
  </si>
  <si>
    <t xml:space="preserve"> Расходы за счет иных межбюджетные трансферты бюджету Республики Крым на финансовое обеспечение в 2014 году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</si>
  <si>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Приложение 8</t>
  </si>
  <si>
    <t>Перечень местных программ, финансируемых за счет средств городского бюджета в 2014 году</t>
  </si>
  <si>
    <t>Наименование главного распорядителя средств</t>
  </si>
  <si>
    <t>Код временной классификации  расходов и кредитования местных бюджетов</t>
  </si>
  <si>
    <t>Наименование кода временной класификации расходов и кредитование местных бюджетов</t>
  </si>
  <si>
    <t>Наименование программ</t>
  </si>
  <si>
    <t>Сумма</t>
  </si>
  <si>
    <t>О70101</t>
  </si>
  <si>
    <t>Программа развития образования города Евпатории на 2013-2016 годы (решение городского совета от 27.07.2012г. №6-26/6)</t>
  </si>
  <si>
    <t>О70201</t>
  </si>
  <si>
    <t>Предоставление общего среднего образования общеобразовательными учебными заведениями (в том числе школой-детским садом, интернатом при школе), специализированными школами, лицеями, гимназиями, коллегиумами</t>
  </si>
  <si>
    <t>О91108</t>
  </si>
  <si>
    <t>Мероприятия по оздоровлению и отдыху детей, кроме мероприятий по оздоровлению детей, который осуществляются за счет средств на оздоровление граждан, которые пострадали вследствие Чернобыльской катастрофы</t>
  </si>
  <si>
    <t>41030901Субвенция из государственного бюджета местным бюджетам на предоставление льгот  по  услугам связи и других предусмотренных законодательством льгот (кроме льгот на получение лекарств, зубопротезирование, оплату электроэнергии, природного и сжиженного газа на бытовые нужды, твердого и жидкого печного бытового топлива, услуг тепло-, водоснабжения и водоотведения,  квартирной платы (содержание домов и сооружений и придомовых территорий,вывоз бытового мусора и жидких нечистот),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топлива и на компенсацию за льготный проезд отдельных категорий граждан</t>
  </si>
  <si>
    <t>41031001Субвенция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t>
  </si>
  <si>
    <t>41035800 Субвенция из государственного бюджета на выплату государственной социальной помощи на детей сирот и детей, лишенных родительского попечительства,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t>
  </si>
  <si>
    <t>41035200 Субвенция на проведение расходов местных бюджетов, которые учитываются при определении объема межбюджетных трансфертов</t>
  </si>
  <si>
    <t>41035600 Субвенция на проведение расходов местных бюджетов, которые не учитываются при определении объема межбюджетных трансфертов</t>
  </si>
  <si>
    <t>Субвенция на увеличение финансовых нормативов для оказания социальных услуг получателям, проживающим в границах территориальной громады Новоозерновского поселкового совета, на оказание услуг первичной медицинской помощи врачебной амбулаторией</t>
  </si>
  <si>
    <t xml:space="preserve">Штрафные санкции за нарушение законодательства о патентовании, за нарушение норм регулирования объёма наличности и  о применении регистраторов расчётных операций в сфере торговли, общественного питания и услуг  </t>
  </si>
  <si>
    <t>Административные штрафы и прочие санкции</t>
  </si>
  <si>
    <t>Административные сборы и платежи, доходы от некоммерческой хозяйственной деятельности</t>
  </si>
  <si>
    <t xml:space="preserve">Поступления от арендной платы за пользование целостным имущественным комплексом и другим государственным имуществом </t>
  </si>
  <si>
    <t>Поступления от арендной платы за пользование целостным имущественным комплексом и другим имуществом, находящимся  в коммунальной собственности</t>
  </si>
  <si>
    <t>Государственная пошлина</t>
  </si>
  <si>
    <t>Государственная пошлина, которая уплачивается по месту рассмотрения и оформления документов, в том числе за оформление документов на наследство и дарение</t>
  </si>
  <si>
    <t xml:space="preserve">Государственная пошлина, связанная с выдачей и оформлением загранпаспортов (свидетельств) и паспортов граждан Украины </t>
  </si>
  <si>
    <t>Прочие неналоговые поступления</t>
  </si>
  <si>
    <t>Денежные взыскания за ущерб, причинённый нарушением законодательства об охране окружающей природной среды вследствие хозяйственной и прочей деятельности</t>
  </si>
  <si>
    <t>Поступление средств паевого участия в развитии инфраструктуры населенного пункта</t>
  </si>
  <si>
    <t>Собственные поступления бюджетных учреждений</t>
  </si>
  <si>
    <t>Поступление от платы за услуги, которые предоставляются бюджетными учреждениями согласно законодательству</t>
  </si>
  <si>
    <t>Плата за услуги, которые предоставляются бюджетными учреждениями согласно их основной деятельности</t>
  </si>
  <si>
    <t>Поступления бюджетных учреждений от дополнительной (хозяйственной) деятельности</t>
  </si>
  <si>
    <t xml:space="preserve">Плата за аренду имущества бюджетных учреждений </t>
  </si>
  <si>
    <t>Поступления бюджетных учреждений от реализации в установленном порядке имущества (кроме недвижимого имущества)</t>
  </si>
  <si>
    <t>Доходы от операций с капиталом</t>
  </si>
  <si>
    <t>Поступления от продажи основного капитала</t>
  </si>
  <si>
    <t>Целевые фонды</t>
  </si>
  <si>
    <t>Прочие фонды</t>
  </si>
  <si>
    <t>Целевые фонды, образованные органами местного самоуправления и местными органами исполнительной власти</t>
  </si>
  <si>
    <t>в т.ч.:фонд развития инфраструктуры города</t>
  </si>
  <si>
    <t>Всего доходов</t>
  </si>
  <si>
    <t xml:space="preserve">   </t>
  </si>
  <si>
    <t xml:space="preserve">Обновление градостроительной документации </t>
  </si>
  <si>
    <t>Мероприятия по разработке детальных планов отдельных территорий города (погашение задолженности за 2013 год)</t>
  </si>
  <si>
    <t>Работы по проведению экспертной денежной оценки земельных участков (погашение задолженности за 2013 год)</t>
  </si>
  <si>
    <t>Обновление градостроительной документации (погашение задолженности за 2013 год)</t>
  </si>
  <si>
    <t>10</t>
  </si>
  <si>
    <t xml:space="preserve">расходы на которые в 2014 году будут проводиться за счет средств бюджета развития       </t>
  </si>
  <si>
    <t xml:space="preserve">   руб</t>
  </si>
  <si>
    <t xml:space="preserve">Код типовой ведомственной классификации расходов местных бюджетов           </t>
  </si>
  <si>
    <t xml:space="preserve">Нименование главного распорядителя средств              </t>
  </si>
  <si>
    <t xml:space="preserve">Название объекта в соответствии с проектно-сметной документацией </t>
  </si>
  <si>
    <t>Общий обьем финансирования строительства</t>
  </si>
  <si>
    <t xml:space="preserve">Процент завершенности строительства объектов на 01.01.2014г. </t>
  </si>
  <si>
    <t>Всего расходов на завершение строительства объектов  на следующие годы</t>
  </si>
  <si>
    <t>Всего расходов на 2014 год</t>
  </si>
  <si>
    <t xml:space="preserve">Наименование кода временной классификации расходов и кредитования местных бюджетов              </t>
  </si>
  <si>
    <t xml:space="preserve">Реконструкция благоустройства у собора св.Николая Чудотворца и мечети Джума-Джами с прилегающим пер.Летным в г.Евпатория (в том числе ПИР) </t>
  </si>
  <si>
    <t xml:space="preserve">Реконструкция набережной им.Терешковой с прилегающим сквером им.Караева в г.Евпатория (1 очередь - участок от переулка св.Елизара до пансионата "Орбита"),  в том числе ПИР </t>
  </si>
  <si>
    <t>Строительство котельной по ул.5-й Авиагородок  в г.Евпатория (корректировка)</t>
  </si>
  <si>
    <t xml:space="preserve">Строительство котельной по ул.5-й Авиагородок  в г.Евпатория </t>
  </si>
  <si>
    <t>Реконструкция детского сада "Космос" в г.Евпатории. Корректировка</t>
  </si>
  <si>
    <t>Реконструкция благоустройства пер.Музейный с заменой сетей электроснабжения в г. Евпатория</t>
  </si>
  <si>
    <t>Приложение 4</t>
  </si>
  <si>
    <t>Показатели межбюджетных трансфертов между городским бюджетом и другими бюджетами на 2014 год</t>
  </si>
  <si>
    <t>Налог на прибыль предприятий и финансовых учреждений коммунальной собственности</t>
  </si>
  <si>
    <t>Авансовые взносы налога на прибыль предприятий и финансовых учреждений коммунальной собственности</t>
  </si>
  <si>
    <t>Налоги на собственность</t>
  </si>
  <si>
    <t>Сбор за первую регистрацию транспортного средства</t>
  </si>
  <si>
    <t>Сбор за первую регистрацию колесных транспортных средств (юридических лиц)</t>
  </si>
  <si>
    <t>Сбор за первую регистрацию колесных транспортных средств (физических лиц)</t>
  </si>
  <si>
    <t>Сбор за первую регистрацию судов (юридических лиц)</t>
  </si>
  <si>
    <t>Сбор за первую регистрацию судов (физических лиц)</t>
  </si>
  <si>
    <t>Сборы и плата  за специальное использование природных ресурсов</t>
  </si>
  <si>
    <t xml:space="preserve">Плата за землю </t>
  </si>
  <si>
    <t xml:space="preserve">Земельный налог с юридических лиц </t>
  </si>
  <si>
    <t xml:space="preserve">Арендная плата с юридических лиц </t>
  </si>
  <si>
    <t xml:space="preserve">Земельный налог с физических лиц </t>
  </si>
  <si>
    <t xml:space="preserve">Арендная плата с физических лиц </t>
  </si>
  <si>
    <t>Местные налоги и сборы</t>
  </si>
  <si>
    <t>Налог на недвижимое имущество, отличное от земельного участка</t>
  </si>
  <si>
    <t>Налог на недвижимое имущество, отличное от земельного участка, уплаченный юридическими лицами</t>
  </si>
  <si>
    <t>Налог на недвижимое имущество, отличное от земельного участка, уплаченный физическими лицами</t>
  </si>
  <si>
    <t>Туристический сбор</t>
  </si>
  <si>
    <t>Туристический сбор, уплаченный юридическими лицами</t>
  </si>
  <si>
    <t>Туристический сбор, уплаченный физическими лицами</t>
  </si>
  <si>
    <t>Сбор за осуществление некоторых видов предпринимательской деятельности</t>
  </si>
  <si>
    <t>Сбор за осуществление торговой деятельности (розничная торговля), уплаченный физическими лицами</t>
  </si>
  <si>
    <t>Сбор за осуществление торговой деятельности (розничная торговля), уплаченный юридическими лицами</t>
  </si>
  <si>
    <t>Прочие льготы ветеранам войны, лицам, на которые распространяется действие Закона Украины "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ветеранам труда,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(субвенция из бюджета РК)</t>
  </si>
  <si>
    <t>Льготы на медицинское обслуживание гражданам, которые пострадали вследствие Чернобыльской катастрофы</t>
  </si>
  <si>
    <t>О90212</t>
  </si>
  <si>
    <t>Другие расходы на  социальную защиту населения</t>
  </si>
  <si>
    <t>О90412</t>
  </si>
  <si>
    <t>в т.ч.на  прочие расходы на социальную защиту населения ( мероприятия по социальной поддержке малообеспеченных граждан, инвалидов и других категорий граждан)</t>
  </si>
  <si>
    <t xml:space="preserve">в т.ч на выплату единовременного вознаграждения участникам обороны и освобождения Крыма от немецко-фашистских захватчиков , а так же на выплату  адресной материальной помощи партизанам и подпольщикам ко Дню партизанской славы </t>
  </si>
  <si>
    <t>в т.ч. на прочие расходы на социальную защиту населения (материальная помощь на приобретение твердого топлива)</t>
  </si>
  <si>
    <t>О90413</t>
  </si>
  <si>
    <t xml:space="preserve">Помощь на захоронение участников боевых действий  и инвалидов войны </t>
  </si>
  <si>
    <t>О90417</t>
  </si>
  <si>
    <t>Льготы, которые предоставляются населению (кроме ветеранов войны и труда, войсковой службы, органов внутренних дел и гражданам, которые пострадали вследствие Чернобыльской катастрофы) на оплату жилищно-коммунальных услуг и природного газа</t>
  </si>
  <si>
    <t>О91207</t>
  </si>
  <si>
    <t xml:space="preserve"> в т.ч. на предоставление льгот отдельным категориям граждан на жилищно-коммунальные услуги </t>
  </si>
  <si>
    <t>на социальную помощь женщинам, удостоенным почетного звания Украины "Мать-героиня", проживающим в  Республики Крым на жилищно-коммунальные услуги</t>
  </si>
  <si>
    <t>Иные межбюджетные трансферты бюджету Республики Крым на финансовое обеспечение в 2014 году дорожной деятельности на дорогах общего пользования регионального или межмуниципального значения и автомобильных дорогах общего пользования местного значения</t>
  </si>
  <si>
    <t>Субвенция местным бюджетам на выплату помощи семьям с детьми, малообеспеченным семьям, инвалидам с детства, детям-инвалидам и временной государственной помощи детям</t>
  </si>
  <si>
    <t>в том числе:  из государственного бюджета Украины</t>
  </si>
  <si>
    <t xml:space="preserve">                         из бюджета Республики Крым</t>
  </si>
  <si>
    <t>Субвенция местным бюджетам  на предоставление льгот и жилищных субсидий населению на оплату электроэнергии, природного газа, услуг тепло-, водоснабжения и водоотведения, квартирной платы (содержание домов и сооружений и придомовых территорий), вывоза бытового мусора и жидких нечистот</t>
  </si>
  <si>
    <t>в т.ч. льготы инвалидам 1 группы и неработающим (нетрудоспособным) инвалидам 2 группы (независимо от причин инвалидности ), инвалидам с нарушением органов слуха и по зрению (независимо от группы), детям-инвалидам до 18 лет, не находящимся на полном государственном обеспечении, с учетом одного из членов семьи, осуществляющего уход за ребенком-инвалидом, с 25-процентной скидкой на приобретение твердого и жидкого печного бытового  топлива и сжиженного газа</t>
  </si>
  <si>
    <t>в т.ч на выплату материальной помощи на приобретение твердого топлива (субвенция из бюджета АРК)</t>
  </si>
  <si>
    <t>Содержание центров социальных служб для семьи, детей и молодежи</t>
  </si>
  <si>
    <t>Другие мероприятия, связанные с экономической деятельностью</t>
  </si>
  <si>
    <t>Субвенция из государственного бюджета на строительстьво, реконструкцию, ремонт и содержание улиц и дорог коммунальной собственности в нгаселенных пунктах</t>
  </si>
  <si>
    <t>Приложение 2</t>
  </si>
  <si>
    <t xml:space="preserve">от 24.01.2014г. №    6-55/9            </t>
  </si>
  <si>
    <t>Льготы, которые предоставляются населению (кроме ветеранов войны и труда, войсковой службы, органов внутренних дел и граждан, которые пострадали вследствие Чернобыльской катастрофы), на оплату жилищно-коммунальных услуг и природного газа</t>
  </si>
  <si>
    <t>Другие мероприятия по охране здоровья</t>
  </si>
  <si>
    <t>Строительство и благоустройство универсальных спортивных площадок, приобретение оборудования и инвентаря (софинансирование по программе победителей Всеукраинского кункурса проектов и программ развития местного самоуправления "Развитие спортивной инфраструктуры и экологического благополучия-залог здорового образа жизни и развитие нации")</t>
  </si>
  <si>
    <t>На адаптацию путей движения к объекту входной группы, зоны приема, санитарно-гигиенического оборудования, на оборудование физкультурно-спортивных площадок, на проведение прочих работ (субсидия из бюджета Республики Крым)</t>
  </si>
  <si>
    <t>Приобретение оргтехники</t>
  </si>
  <si>
    <t>75</t>
  </si>
  <si>
    <t>системы, государственной пожарной охраны, погибших в связи с выполнением служебных обязанностей нетрудоспособным членам семей, которые находились на иждивении, на приобретение твердого топлива</t>
  </si>
  <si>
    <t>Льготы на медицинское обслуживание гражданам, которые пострадали вследствие Чернобыльской катастрофы (субвенция из бюджета РК)</t>
  </si>
  <si>
    <t>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  на жилищно-коммунальные услуги</t>
  </si>
  <si>
    <t>Комплексная Программа развития культуры и искусств в городе Евпатории на 2012-2015 годы ( решение городского совета от 25.11.2011г. №6-16/8)</t>
  </si>
  <si>
    <t>Служба по делам детей Евпаторийского городского совета</t>
  </si>
  <si>
    <t>Управление городского хозяйства Евпаторийского гродского совета</t>
  </si>
  <si>
    <t>Программа развития  и реформирования жилищно-коммунального хозяйства г.Евпатория на 2011-2015 годы (решение городского совета от 26.11.2010г. №6-2/4)</t>
  </si>
  <si>
    <t>Расходы на финансирование работ, связанных со строительством, реконструкцией, ремонтом и содержание автомобильных дорог общего пользования</t>
  </si>
  <si>
    <t>Мероприятия по реализации Программы по обращению с животными г.Евпатория на 2010-2014 годы(решение городского совета от 29.01.2010г. №5-57/2)</t>
  </si>
  <si>
    <t>Программа привлечения инвестиций в экономику города Евпатория на 2012-2015 годы (решение городского совета от 22.07.2011г. №6-11/2)</t>
  </si>
  <si>
    <t>Городская программа по энергосбережению на 2007-2015 годы  (решение городского совета от 27.04.2007г. №5-16/13)</t>
  </si>
  <si>
    <t>Управление по физической культуре и спорта Евпаторийского городского совета</t>
  </si>
  <si>
    <t>Программа развития массовой физической культуры и спорта высших достижений  города Евпатории на 2012-2015 годы ( решение городского совета от 26.08.2011г. №6-12/2)</t>
  </si>
  <si>
    <t>Финансовая поддержка спортивных сооружений</t>
  </si>
  <si>
    <t>Программа строительства, реконструкции и капитального ремонта объектов социально-бытового назначения, объектов инфраструктуры, реконструкции устаревшего жилья города Евпатории на 2012-2015 годы  ( решение  городского совета от 26.08.2011г. №6-12/13)</t>
  </si>
  <si>
    <t>Мероприятия по реализации Программы по обращению с животными г.Евпатория на 2010-2014 годы</t>
  </si>
  <si>
    <t>Комплексная городская Программа развития санаторно-курортного и туристического комплекса города Евпатории на 2012-2015 годы ( решенгие городского совета от 26.08.2011г. №6-12/6)</t>
  </si>
  <si>
    <t>Компенсационные выплаты на льготный проезд автомобильным транспортом отдельным категориям граждан (субвенция из бюджета Республики Крым)</t>
  </si>
  <si>
    <t>Помощь при усыновлении ребенка (субвенция из бюджета Республики Крым)</t>
  </si>
  <si>
    <t>мероприятия по Программе освещения деятельности Евпаторийского городского совета, его исполнительных органов, финансовой поддержки (дотации) коммунальных предприятий средств массовой информации в 2012-2015гг</t>
  </si>
  <si>
    <t>200000</t>
  </si>
  <si>
    <t>Охрана окружающей природной среды и ядерная безопасность</t>
  </si>
  <si>
    <t>210000</t>
  </si>
  <si>
    <t>Предотвращение и ликвидация чрезвычайных ситуаций и последствий стихийного бедствия</t>
  </si>
  <si>
    <t>Мероприятия и работы по мобилизационной подготовке местного значения</t>
  </si>
  <si>
    <t>240000</t>
  </si>
  <si>
    <t>250000</t>
  </si>
  <si>
    <t>в т.ч. субвенция из бюджета Республики Крым</t>
  </si>
  <si>
    <t>Школы эстетического воспитания детей</t>
  </si>
  <si>
    <t>Другие культурно-образовательные учреждения и мероприятия</t>
  </si>
  <si>
    <t>ВК "Керкинитида"</t>
  </si>
  <si>
    <t>Всего</t>
  </si>
  <si>
    <t>ВСЕГО</t>
  </si>
  <si>
    <t>Органы местного самоуправления</t>
  </si>
  <si>
    <t>Социальная защита и социальное обеспечение</t>
  </si>
  <si>
    <t>Культура и искусство</t>
  </si>
  <si>
    <t>Образование</t>
  </si>
  <si>
    <t>Жилищно-коммунальное хозяйство</t>
  </si>
  <si>
    <t>Физическая культура и спорт</t>
  </si>
  <si>
    <t>Льготы ветеранам военной службы, ветеранам органов внутренних дел, ветеранам налоговой милиции, ветеранам государственной пожарной охраны, ветеранам Государственной криминально-исполнительной службы, ветеранам службы гражданской защиты, ветеранам  Государственной службы специальной связи и защиты информации Украины, вдовам (вдовцам) умерших (погибших) ветеранов военной службы, ветеранов органов внутренних дел, ветеранов налоговой милиции, ветеранов государственной пожарной охраны, ветерановГосударственной криминально-исполнительной службы, ветеранов службы гражданской защиты и ветеранов Государственной службы специальной связи и защиты информации Украины,освобожденным из службы по возрасту, болезни или выслугой лет военнослужащим Службы безопасности Украины, работникам милиции, лицам  начальственного состава налоговой милиции, рядового и начальственного  состава криминально исполнительной системы, государственной пожарной охраны, пенсионерам из числа следователей прокуратуры, детям (до достижения совершеннолетия) работников милиции, лиц начальственного состава налоговой милиции,</t>
  </si>
  <si>
    <t>На реализацию мероприятий Государственной программы Республики Крым "Модернизация финансовой системы Республики Крым на 2014 год"( субвенция из бюджета Республики Крым)</t>
  </si>
  <si>
    <t>На компенсацию собственных поступлений бюджетных учреждений, заблокированных в органах Государственной казначейской службы Украины ( субвенция из бюджета Республики Крым)</t>
  </si>
  <si>
    <t>Приложение  1</t>
  </si>
  <si>
    <t>к  решению    городского  совета</t>
  </si>
  <si>
    <t xml:space="preserve">Доходы  городского бюджета  на 2014 год  </t>
  </si>
  <si>
    <t>руб.</t>
  </si>
  <si>
    <t>Наименование доходов согласно бюджетной классификации</t>
  </si>
  <si>
    <t>КОД</t>
  </si>
  <si>
    <t xml:space="preserve">Всего </t>
  </si>
  <si>
    <t xml:space="preserve"> </t>
  </si>
  <si>
    <t>Налоговые поступления</t>
  </si>
  <si>
    <t>Налоги на доходы, налоги на прибыль, налоги на увеличение рыночной стоимости</t>
  </si>
  <si>
    <t xml:space="preserve">Налог на доходы физических лиц </t>
  </si>
  <si>
    <t>Налог на доходы физических лиц, который уплачивается налоговыми агентами, из доходов плательщика налога в виде заработной платы</t>
  </si>
  <si>
    <t xml:space="preserve">предоставление субсидий, предоставляемых в 2014 году из федерального бюджета бюджетам субъектов Российской Федерации на проведение мероприятий по формированию в субъектах Российской Федерации сети базовых общеобразовательных организаций, в которых созданы условия для инклюзивного образования детей-инвалидов, в рамках реализации государственной программы Российской Федерации «Доступная среда» на 2011-2015 годы  </t>
  </si>
  <si>
    <t>на осуществление органами местного самоуправления муниципальных образований отдельных государственных полномочий в сфере социальной защиты населения Республики Крым</t>
  </si>
  <si>
    <t xml:space="preserve">на осуществление органами местного самоуправления муниципальных образований отдельных государственных полномочий Республики Крым в сфере архивного дела </t>
  </si>
  <si>
    <t>рядового и начальственного состава криминально-исполнительной системы, государственной пожарной охраны, погибших или умерших в связи с выполнением служебных обязанностей, неработоспособным членам семей, которые находились на их иждивении, уволеным с военной службы лицам, которые стали инвалидами во время прохождения военной службы,  родителям и членам семей военнослужащих, которые погибли (умерли) или пропали без вести во время прохождения военной службы, родителям и членам семей лиц рядового и начальственного состава органов и подразделов гражданской защиты, Государственной службы  специальной связи и защиты информации Украины, которые погибли (умерли), пропали безвести или стали инвалидами при прохождении службы, на жилищно-коммунальные услуги (субвенция из бюджета Республики Крым)</t>
  </si>
  <si>
    <t>Главное управление инвестиционной политики и внешнеэкономических связей Евпаторийского городского совета</t>
  </si>
  <si>
    <t>руб</t>
  </si>
  <si>
    <t>Расходы на проведение работ, связанных со строительством, реконструкцией, ремонтом и содержанием автомобильных дорог (  кредиторская задолженность по субвенции)</t>
  </si>
  <si>
    <t>Расходы на проведение работ, связанных со строительством, реконструкцией, ремонтом и содержанием автомобильных дорог (  остаток на 01.01.2014г. по субвенции )</t>
  </si>
  <si>
    <t>Мероприятия в рамках Всекрымского конкурсу  проектов и программ развития местного самоуправления-проект "Медицина третьего тысячелетия"</t>
  </si>
  <si>
    <t xml:space="preserve">Меропирятия по подготовке коммунальных учреждений  к работе в осенне-зимний период 2013-2014гг(погашение задолженности за 2013 год) </t>
  </si>
  <si>
    <t xml:space="preserve">Мероприятия по реализации городской программы "Здоровье жителей города Евпатории на 2012-2015 годы"(погашение задолженности за 2013 год) </t>
  </si>
  <si>
    <t>Мероприятия по реализации  Программы освещения деятельности Евпаторийского городского совета, его исполнительных органов, финансовой поддержки( дотации) коммунальных предприятий средств массовой информации в 2012-2015гг (погашение задолженности за 2013 год)</t>
  </si>
  <si>
    <t xml:space="preserve">Мероприятия по реализации Комплексной программы развития культуры и искуства в г.Евпатория на 2012-2015г. (погашение задолженности за 2013 год) </t>
  </si>
  <si>
    <t xml:space="preserve"> Главное управление инвестиционной политики и внешнеэкономических связей  Евпаторийского городского совета</t>
  </si>
  <si>
    <t xml:space="preserve">Мероприятия в рамках Комплексной городской программы санаторно-курортного и туристического комплекса города Евпратории на 2012-2015 годы </t>
  </si>
  <si>
    <t>Мероприятия в рамках Программы привлечения инвестиции в экономику города Евпатория на 2012-2015 годы</t>
  </si>
  <si>
    <t xml:space="preserve">Мероприятия в рамках Комплексной городской программы санаторно-курортного и туристического комплекса города Евпратории на 2012-2015 годы (погашение задолженности за 2013 год) </t>
  </si>
  <si>
    <t>Мероприятия по реализации Программы развития массовой физической культуры и спорта высших достижений г.Евпатории на 2012-2015гг.</t>
  </si>
  <si>
    <t>Мероприятия по реализации Программы развития массовой физической культуры и спорта высших достижений г.Евпатории на 2012-2015гг.(софинансирование по программе победителей Всеукраинского кункурса проектов и программ развития местного самоуправления "Развитие спортивной инфраструктуры и экологического благополучия-залог здорового образа жизни и развитие нации") (погашение задолженности за 2013 год)</t>
  </si>
  <si>
    <t>Мероприятия по реализации Программы развития малого и среднего предпринимательства в г.Евпатория на 2013-2015 годы</t>
  </si>
  <si>
    <t>Мероприятия в рамках Программы поддержки и развития малого и среднего предпринимательства  г.Евпатория на 2013-2015гг. (погашение задолженности за 2013 год)</t>
  </si>
  <si>
    <t xml:space="preserve">Мероприятия по реализации  Программы освещения деятельности Евпаторийского городского совета, его исполнительных органов, финансовой поддержки( дотации) коммунальных предприятий средств массовой информации в 2012-2015гг </t>
  </si>
  <si>
    <t xml:space="preserve">Мероприятия по реализации Программы развития коммунального учреждения "Евпаторийский городской территориальный центр социального обслуживания (предоставление социальных услуг) на 2013-2015годы </t>
  </si>
  <si>
    <t>Развитие материально-технической базы</t>
  </si>
  <si>
    <t xml:space="preserve">Мероприятия по реализации Комплексной программы социальной поддержки инвалидов и других социально-незащищённых категорий граждан г.Евпатории "Забота" на 2012-2015гг. </t>
  </si>
  <si>
    <t xml:space="preserve">Мероприятия по реализации Комплексной программы обеспечения межнационального согласия, обустройства и социально-культурного развития депортированных граждан в г.Евпатория на 2012-2015 годы (погашение задолженности за 2013 год) </t>
  </si>
  <si>
    <t>Мероприятия в рамках "Комплексной программы гражданской защиты населения и территории г.Евпатория на 2011-2015гг"</t>
  </si>
  <si>
    <t>Прочие льготы ветеранам войны, лицам, на которые распространяется действие Закона Украины "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ветеранам труда,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(субвенция из госбюджета)</t>
  </si>
  <si>
    <t>Прочие 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t>
  </si>
  <si>
    <t>Проведение инвентаризации земель пгт.Новоозерное</t>
  </si>
  <si>
    <t>на улучшение предоставления социальных услуг наиболее незащещенным слоям населения</t>
  </si>
  <si>
    <t>На обеспечение государственных гарантий бесплатного оказания гражданам медицинской помощи</t>
  </si>
  <si>
    <t xml:space="preserve">На обеспечение государственных гарантий бесплатного оказания гражданам медицинской помощи поселковым бюджетам Мирный и Новоозерный </t>
  </si>
  <si>
    <t>На финансирование программ-победителей одиннадцатого Всекрымского конкурса проектов и программ развития местного самоуправления</t>
  </si>
  <si>
    <t>Субсидии из федерального бюджета бюджету Республики Крым на реализацию мероприятий , включенных в программу Республики Крым, разработанную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 субсидия из бюджета Республики Крым)</t>
  </si>
  <si>
    <t xml:space="preserve">от 24.01.2014 № 6-55/9 </t>
  </si>
  <si>
    <t>(рубль)</t>
  </si>
  <si>
    <t>оплата труда</t>
  </si>
  <si>
    <t>010000</t>
  </si>
  <si>
    <t>в т.ч. субвенция на обеспечение питанием (завтраками) учеников 5-11 классов общеобразовательных учебных заведений (субвенция из бюджета Республики Крым)</t>
  </si>
  <si>
    <t>в т.ч. выплата государственной социальной помощи на детей-сирот и детей, лишенных родительского попечения,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(субвенция из бюджета Республики Крым)</t>
  </si>
  <si>
    <t>Управление по оборонно-мобилизационной работе, взаимодействию с правоохранительными и контролирующими органами и гражданской защите населения Евпаторийского городского совета</t>
  </si>
  <si>
    <t>Помощь по уходу за ребенком до достижения им  3-х лет (субвенция из Государственного бюджета Украины)</t>
  </si>
  <si>
    <t>ветеранов Государственной криминально-исполнительной службы, ветеранов службы гражданской защиты и ветеранов Государственной службы специальной связи и защиты информации Украины,освобожденным из службы по возрасту, болезни или выслугой лет военнослужащим Службы безопасности Украины, работникам милиции, лицам  начальственного состава налоговой милиции, рядового и начальственного  состава криминально исполнительной системы, государственной пожарной охраны, пенсионерам из числа следователей прокуратуры, детям (до достижения совершеннолетия) работников милиции, лиц начальственного состава налоговой милиции, рядового</t>
  </si>
  <si>
    <t>Средства, полученные из общего фонда бюджета в бюджет развития (специального фонда)</t>
  </si>
  <si>
    <t>Всего по типу кредитора</t>
  </si>
  <si>
    <t>Финансирование бюджета по типу долгового обязательства</t>
  </si>
  <si>
    <t>Иные межбюджетные трансферты на финансовое обеспечение мероприятий по модернизации региональных систем образования Республики Крым</t>
  </si>
  <si>
    <t xml:space="preserve">Помощь на детей над которыми установлена  опека или  попечительство </t>
  </si>
  <si>
    <t xml:space="preserve">Помощь на детей одиноким матерям </t>
  </si>
  <si>
    <t>Временная государственная помощь детям</t>
  </si>
  <si>
    <t>Субсидии населению для возмещения затрат  на оплату жилищно-коммунальных услуг</t>
  </si>
  <si>
    <t>090202</t>
  </si>
  <si>
    <t>Управление межнациональных отношений Евпаторийского городского совета</t>
  </si>
  <si>
    <t>Капитальные вложения</t>
  </si>
  <si>
    <t>Финансовая поддержка общественных организаций инвалидов и ветеранов</t>
  </si>
  <si>
    <t>Центры здоровья и мероприятия в сфере санитарного образования</t>
  </si>
  <si>
    <t>Расходы городского бюджета на 2014 год по временной классификации расходов и кредитования местных бюджетов</t>
  </si>
  <si>
    <t>мероприятия по реализации комплексной программы гражданской защиты населения в г.Евпатории</t>
  </si>
  <si>
    <t xml:space="preserve">мероприятия, связанные с проведением процесса приватизации </t>
  </si>
  <si>
    <t>в редакции решения городского совета</t>
  </si>
  <si>
    <t>мероприятия по присуждению премии им.С.Э.Дувана, присвоению звания "Почетный гражданин города Евпатории"</t>
  </si>
  <si>
    <t xml:space="preserve">Управление образования Евпаторийского городского совета </t>
  </si>
  <si>
    <t>Управление здравоохранения Евпаторийского городского совета</t>
  </si>
  <si>
    <t xml:space="preserve">Управление труда и социальной защиты населения Евпаторийского городского совета </t>
  </si>
  <si>
    <t>Другие расходы на социальную защиту населения</t>
  </si>
  <si>
    <t xml:space="preserve">Отдел ведения Государственного реестра избирателей Евпаторийского городского совета </t>
  </si>
  <si>
    <t>Мероприятия в сфере защиты населения и территорий от чрезвычайных ситуаций техногенного и природного характера</t>
  </si>
  <si>
    <t>Прочии субвенции</t>
  </si>
  <si>
    <t>Дотации выравнивания, которые передаются из районных и городских (городов Киева и Севастополя, городов республиканского и областного значения) бюджетов</t>
  </si>
  <si>
    <t>Код временной классификации расходов и кредитования местных бюджетов</t>
  </si>
  <si>
    <t>Наименование кода временной классификации расходов и кредитования местных бюджетов</t>
  </si>
  <si>
    <t>Государственное управление</t>
  </si>
  <si>
    <t>Прочие расходы</t>
  </si>
  <si>
    <t>Здравоохранение</t>
  </si>
  <si>
    <t>Благоустройство городов, сел, поселков</t>
  </si>
  <si>
    <t>Строительство</t>
  </si>
  <si>
    <t>Исполнительный комитет Евпаторийского городского совета</t>
  </si>
  <si>
    <t xml:space="preserve">государственной пожарной охраны, погибших в связи с выполнением служебных обязанностей нетрудоспособным  членам семей, которые находились на иждивении, на приобретение твердого топлива  </t>
  </si>
  <si>
    <t>Льготы  многодетным семьям на приобретение твердого топлива и сжиженного газа</t>
  </si>
  <si>
    <t xml:space="preserve"> Субсидии населению для возмещение затрат на приобретение твердого топлива и сжиженного газа </t>
  </si>
  <si>
    <t>Компенсация лицам, которые в соответствии со статьями 43 и 48 Горного закона Украины имеют право на бесплатное получение угля на бытовые нужды, но проживают в домах, имеющих центральное отопление.</t>
  </si>
  <si>
    <t>Частичное возмещение стоимости лекарственных препаратов для лечения лиц с гипертонической болезнью</t>
  </si>
  <si>
    <t xml:space="preserve">Приобретение технологического автотранспорта для укомплектования пунктов неотложной медицинской помощи при поликлиниках </t>
  </si>
  <si>
    <t xml:space="preserve">Приобретение сервера и компьютеров с програмным обеспечением </t>
  </si>
  <si>
    <t xml:space="preserve">Капитальный ремонт хозпитьевого и противопожарного водоснабжения </t>
  </si>
  <si>
    <t xml:space="preserve">Капитальный ремонт  наружных сетей электроснабжения </t>
  </si>
  <si>
    <t>Капитальный ремонт хозпитьевого и противопожарного водоснабжения (погашение задолженности за 2013 год)</t>
  </si>
  <si>
    <t>Капитальный ремонт  наружных сетей электроснабжения (погашение задолженности за 2013 год)</t>
  </si>
  <si>
    <t>Субвенция на финансирование программ-победителей одиннадцатого Всекрымского конкурса проектов и программ развития местного самоуправления "Медицина третьего тысячелетия</t>
  </si>
  <si>
    <t xml:space="preserve">Департамент по развитию территории Евпаторийского городского совета </t>
  </si>
  <si>
    <t>Субвенция на увеличение финансовых нормативов для оказания социальных услуг получателям, проживающим в границах территориальной громады п.Мирный, на оказание услуг первичной медицинской помощи врачебной амбулаторией</t>
  </si>
  <si>
    <t>Субвенция на увеличение финансовых нормативов для оказания социальных услуг получателям, проживающим в границах территориальной громады Заозерненского поселкового совета, на оказание услуг в рамках программы "Здоровые дети пгт. Заозерное"</t>
  </si>
  <si>
    <t xml:space="preserve"> и начальственного состава исполнительной системы, государственной пожарной охраны, погибших или умерших в связи с выполнением служебных обязанностей, неработоспособным членам семей, которые находились на их иждивении, уволеным с военной службы лицам, которые стали инвалидами во время прохождения военной службы,  родителям и членам семей военнослужащих, которые погибли (умерли) или пропали без вести во время прохождения военной службы, родителям и членам семей лиц рядового и начальственного состава органов и подразделов гражданской защиты, Государственной службы  специальной связи и защиты информации Украины, которые погибли (умерли), пропали безвести или стали инвалидами при прохождении службы, на жилищно-коммунальные услуги.</t>
  </si>
  <si>
    <t xml:space="preserve"> 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 ,  на жилищно-коммунальные услуги</t>
  </si>
  <si>
    <t xml:space="preserve">Льготы пенсионерам из числа специалистов по защите растений, предусмотренные частью четвертой статьи 20 Закона Украины "О защите растений", гражданам, предусмотренные пунктом "и" части первой статьи 77 Основ законодательства об охране здоровья, частью четвертой статьи 29 Основ законодательства о культуре, частью второй статьи 30 Закона Украини "О библиотеках и библиотечном деле", абзацем первым части четвертой статьи 57 Закона Украины "Об образовании", на бесплатное пользование жильем, отоплением и освещением"; </t>
  </si>
  <si>
    <t xml:space="preserve">41030601Субвенция из Государственного бюджета местным бюджетам на выплату помощи семьям с детьми, малообеспеченным семьям, инвалидам с детства, детям- инвалидам и временной государственной помощи детям </t>
  </si>
  <si>
    <t>4130801Субвенция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водоотведения, квартирной платы (содержание домов, сооружений и придомовой территории), вывоза бытового мусора и жидких нечистот</t>
  </si>
  <si>
    <t>Льготы пенсионерам из числа специалистов по защите растений, предусмотренные частью четвертой статьи 20 Закона Украины "О защите растений", гражданам, предусмотренные пунктом "и" части первой статьи 77 Основ законодательства об охране здоровья, частью четвертой статьи 29 Основ законодательства о культуре, частью второй статьи 30 Закона Украини "О библиотеках и библиотечном деле", абзацем первым части четвертой статьи 57 Закона Украины "Об образовании", на бесплатное пользование жильем, отоплением и освещением" (субвенция из Государственного бюджета Украины)</t>
  </si>
  <si>
    <t>Субвенция на проведение расходов местных бюджетов, которые учитываются при определении объема межбюджетных трансфертов (субвенция поселковым советам на осуществление расходов, связанных с функционированием врачебных амбулаторий, расположенных в поселках)</t>
  </si>
  <si>
    <t xml:space="preserve">в т.ч. мероприятия по организации молодежных трудовых отрядов </t>
  </si>
  <si>
    <t>Магистральные тепловые сети от районной котельной VIII микрорайона по ул.Чапаева, 119 г.Евпатории с предизолированными трубами ТГИ ПО D638/800мм. Реконструкция  (субвенция из бюджета Ресчпублики Крым)</t>
  </si>
  <si>
    <t>Магистральные тепловые сети от районной котельной 8 микрорайона по ул.Чапаева, 119 г.Евпаториb с предизолированными трубами ТГИ ПО D638/800мм. Реконструкция  (дополнительные работы) (субвенция из бюджета Ресчпублики Крым)</t>
  </si>
  <si>
    <t xml:space="preserve">Проектно-изыскательские работы </t>
  </si>
  <si>
    <t xml:space="preserve">Строительство детского дошкольного учреждения в мкр.Исмаил-бей (в т.ч. ПИР) </t>
  </si>
  <si>
    <t>Строительство карантийной площадки для временного содержания бездомных животных на территории коммунального предприятия "АТСО" по Черноморскому шоссе, 25 в г.Евпатория</t>
  </si>
  <si>
    <t>Реконструкция благоустройства у собора св.Николая Чудотворца и мечети Джума-Джами с прилегающим пер.Летным (в том числе ПИР) (погашение задолженности за 2013 год)</t>
  </si>
  <si>
    <t>Реконструкция набережной им.Терешковой с прилегающим сквером им.Караева в г.Евпатория (1 очередь - участок от переулка св.Елизара до пансионата "Орбита"),  в том числе ПИР (погашение задолженности за 2013 год)</t>
  </si>
  <si>
    <t>Капитальный ремонт сетей электроснабжения по переулку Летный в г Евпатория (погашение задолженности за 2013 год)</t>
  </si>
  <si>
    <t xml:space="preserve">Капитальный ремонт сетей электроснабжения по переулку Летный в г Евпатория </t>
  </si>
  <si>
    <t>Капитальный ремонт нежилых помещений по ул.Революции, 61/4/8 в г.Евпатория, в т.ч. ПИР</t>
  </si>
  <si>
    <t>Капитальный ремонт инфекционного корпуса детской городской больницы КУ ДТМО по ул.Дм.Ульянова в г.Евпатория (2 очередь) (погашение задолженности за 2013 год)</t>
  </si>
  <si>
    <t>Капитальный ремонт инфекционного корпуса детской городской больницы КУ ДТМО  в г.Евпатории (субвенция из бюджета Республики Крым)</t>
  </si>
  <si>
    <t>Реконсрукция инфекционного корпуса детской городлской больницы КУ ДТМО  по ул.Дм.Ульяновав г.Евпатория (1 очередь)</t>
  </si>
  <si>
    <t>Проектно-изыскательские работы (погашение задолженности за 2013 год)</t>
  </si>
  <si>
    <t>Строительство детского дошкольного учреждения в мкр.Исмаил-бей (в т.ч. ПИР) (погашение задолженности за 2013 год)</t>
  </si>
  <si>
    <t>Группы централизованного хозяйственного обслуживания</t>
  </si>
  <si>
    <t>в т ч.в рамках Программы освещения деятельности Евпаторийского городского совета, его исполнительных органов, финансовой поддержки( дотации) коммунальных предприятий средств массовой информации в 2012-2015гг</t>
  </si>
  <si>
    <t>Обеспечение централизованных мероприятий по лечению больных сахарным и несахарным диабетом</t>
  </si>
  <si>
    <t xml:space="preserve">Расходы на предупреждение и ликвидацию чрезвычайных ситуаций и последствий стихийного бедствия </t>
  </si>
  <si>
    <t>Приложение 3</t>
  </si>
  <si>
    <t xml:space="preserve">коммунальные услуги и энергоносители </t>
  </si>
  <si>
    <t>потребления</t>
  </si>
  <si>
    <t>развития</t>
  </si>
  <si>
    <t>бюджет развития</t>
  </si>
  <si>
    <t xml:space="preserve">из них </t>
  </si>
  <si>
    <t>Прочие дополнительные дотации</t>
  </si>
  <si>
    <t>Субсидии населению для возмещения затрат  на оплату жилищно-коммунальных услуг (субвенция из Государственного бюджета Украины)</t>
  </si>
  <si>
    <t xml:space="preserve">мероприятия по реализации программы привлечения инвестиций в экономику города </t>
  </si>
  <si>
    <t xml:space="preserve">в т.ч. мероприятия, связанные с проведением процесса приватизации </t>
  </si>
  <si>
    <t>Театры</t>
  </si>
  <si>
    <t>Библиотеки</t>
  </si>
  <si>
    <t>Музеи и выставки</t>
  </si>
  <si>
    <t>Расходы на проведение работ, связанных со строительством, реконструкцией, ремонтом и содержанием автомобильных дорог ( субвенция из Государственного бюджета )</t>
  </si>
  <si>
    <t>Департамент по развитию территории Евпаторийского городского совета</t>
  </si>
  <si>
    <t>03</t>
  </si>
  <si>
    <t>Расходы специального фонда</t>
  </si>
  <si>
    <t>из них</t>
  </si>
  <si>
    <t>в т.ч.на  прочие расходы на социальную защиту населения (мероприятия по социальной поддержке малообеспеченных граждан, инвалидов и других категорий граждан)  (субвенция из бюджета АРК)</t>
  </si>
  <si>
    <t>в рамках Программы содействия развитию гражданского общества в городе Евпатории на 2014-2017 годы</t>
  </si>
  <si>
    <t xml:space="preserve">Расходы на проведение работ, связанных со строительством, реконструкцией, ремонтом и содержанием автомобильных дорог </t>
  </si>
  <si>
    <t>Распределение расходов городского бюджета на 2014 год по главным распорядителям средств</t>
  </si>
  <si>
    <t>Смета</t>
  </si>
  <si>
    <t>доходов и расходов специального целевого фонда развития инфраструктуры на 2014 год</t>
  </si>
  <si>
    <t xml:space="preserve">Сумма </t>
  </si>
  <si>
    <t xml:space="preserve">Управление городского хозяйства Евпаторийского городского совета </t>
  </si>
  <si>
    <t xml:space="preserve">Мероприятия по реализации  Программы развития и реформирования жилищно-коммунального хозяйства г.Евпатория на 2011-2015 годы </t>
  </si>
  <si>
    <t>Мероприятия по реализации Комплексной программы развития культуры и искусства в городе Евпатории на 2012-2015 годы</t>
  </si>
  <si>
    <t>Мероприятия по реализации Программы привлечения инвестиций в экономику города Евпатории на 2012-2015г. (софинансирование по программе-победителей Всеукраинского конкурса проектов и программ развития местного самоуправления "Развитие велосипедного движения как действенный механизм формирования туристической привлекательности и курортно-оздоровительной инфраструктуры Крыма")</t>
  </si>
  <si>
    <t xml:space="preserve">Мероприятия по реализации Комплексной программы обеспечения межнационального согласия, обустройства и социально-культурного развития депортированных граждан в г.Евпатория на 2012-2015 годы </t>
  </si>
  <si>
    <t xml:space="preserve">Мероприятия по реализации Программы по обращению с животными г.Евпатория на 2010-2014 годы (погашение задолженности за 2013 год) </t>
  </si>
  <si>
    <t xml:space="preserve">Мероприятия по реализации  Программы развития и реформирования жилищно-коммунального хозяйства г.Евпатории на 2011-2015 годы (погашение задолженности за 2013 год) </t>
  </si>
  <si>
    <t xml:space="preserve"> Управление образования Евпаторийского гороского совета </t>
  </si>
  <si>
    <t xml:space="preserve">Мероприятия в рамках Программы развития образования в городе Евпатории  на 2013-2016 годы </t>
  </si>
  <si>
    <t>Мероприятия в рамках Программы развития внешкольных учебных заведений города Евпатории на 2012-2015 годы</t>
  </si>
  <si>
    <t xml:space="preserve">Мероприятия по реализации  Программы освещения деятельности Евпаторийского городского совета, его исполнительных органов, финансовой поддержки( дотации) коммунальных предприятий средств массовой информации в 2012-2015гг  </t>
  </si>
  <si>
    <t>Мероприятия по реализации городской программы "Здоровье жителей города Евпатории на 2012-2015 годы"</t>
  </si>
  <si>
    <t xml:space="preserve">Развитие материально-технической базы (погашение задолженности за 2013 год) </t>
  </si>
  <si>
    <t>Мероприятия в рамках Программы развития образования в городе Евпатории  на 2013-2016 годы (погашение задолженности за 2013 год)</t>
  </si>
  <si>
    <t xml:space="preserve">Мероприятия в рамках Программы развития внешкольных учебных заведений города Евпатории на 2012-2015 годы (пагашение задолженности за 2013 год) </t>
  </si>
  <si>
    <t>Мероприятия по реализации городской программы "Здоровье жителей города Евпатории на 2012-2015 годы" (погашение задолженности за 2013 год)</t>
  </si>
  <si>
    <t xml:space="preserve">Исполнительный комитет Евпаторийского городского совета </t>
  </si>
  <si>
    <t xml:space="preserve">Развитие материально-технической базы </t>
  </si>
  <si>
    <t xml:space="preserve">Мероприятия по реализации  Программы освещения деятельности Евпаторийского городского совета, его исполнительных органов, финансовой поддержки( дотации) коммунальных предприятий средств массовой информации в 2012-2015гг (погашение задолженности за 2013 год) </t>
  </si>
  <si>
    <t>Мероприятия по реализации Программы развития земельных отношений на территории города Евпатории на 2010-2015гг.</t>
  </si>
  <si>
    <t>Мероприятия по реализации Программы создания Службы градостроительного кадастра в г.Евпатория на 2012-2015гг</t>
  </si>
  <si>
    <t>Мероприятия по реализации Программы охраны и улучшения состояния окружающей природной среды на территории г.Евпатории на 2010-2015гг.</t>
  </si>
  <si>
    <t xml:space="preserve">Мероприятия по реализации Программы развития земельных отношений на территории города Евпатории на 2010-2015г.(погашение задолженности за 2013 год) </t>
  </si>
  <si>
    <t xml:space="preserve">Мероприятия по реализации Программы создания Службы градостроительного кадастра в г.Евпатория на 2012-2015гг.(погашение задолженности за 2013 год) </t>
  </si>
  <si>
    <t xml:space="preserve">Мероприятия по реализации городской программы "Здоровье жителей города Евпатории на 2012-2015 годы" </t>
  </si>
  <si>
    <t>Мероприятия по реализации  Программы освещения деятельности Евпаторийского городского совета, его исполнительных органов, финансовой поддержки( дотации) коммунальных предприятий средств массовой информации в 2012-2015гг</t>
  </si>
  <si>
    <t xml:space="preserve">Мероприятия по реализации Комплексной программы поддержки инвалидов и других социально-незащищенных категорий граждан г.Евпатория "Забота" на 2012-2015 годы </t>
  </si>
  <si>
    <t>Архив Евпаторийского городского совета</t>
  </si>
  <si>
    <t>мероприятия по развитию инфраструктуры города и инвестиционных проектов</t>
  </si>
  <si>
    <t xml:space="preserve">Льготы ветеранам военной службы, ветеранам органов внутренних дел, ветеранам    налоговой милиции, ветеранам государственной пожарной охраны, ветеранам Государственной криминально-исполнительной службы, ветеранам службы гражданской защиты, ветеранам Государственной  службы специальной связи и защиты информации Украины, вдовам (вдовцам) умерших (погибших) ветеранов военной службы , ветеранов органов внутренних дел, ветеранов налоговой милиции, ветеранов государственной пожарной охраны, ветеранов Государственной криминально-исполнительной службы, ветерано вслужбы гражданской защиты, ветеранов Государственной  службы специальной связи и защиты информации Украины,и государственной пожарной охраны, а также уволенным со службы по годам, болезни или выслугой лет работникам милиции, лицам начальствующего состава налоговой милиции, рядового и начальствующего состава криминально-исполнительной системы, государственной пожарной охраны, детям (до достижения полнолетия) работников милиции, лиц начальствующего состава налоговой милиции, рядового и начальствующего состава криминально-исполнительной </t>
  </si>
  <si>
    <t>Департамент финансов и экономического развития  Евпаторийского городского совета</t>
  </si>
  <si>
    <t>Управление городского хозяйства Евпаторийского городского совета</t>
  </si>
  <si>
    <t>Дошкольные учебные заведения</t>
  </si>
  <si>
    <t>Временная государственная помощь детям (субвенция из Государственного бюджета Украины)</t>
  </si>
  <si>
    <t>Помощь при усыновлении ребенка (субвенция из Государственного бюджета Украины)</t>
  </si>
  <si>
    <t>Государственная социальная помощь малообеспеченным семьям (субвенция из Государственного бюджета Украины)</t>
  </si>
  <si>
    <t>в т.ч на выплату единовременного вознаграждения участникам обороны и освобождения Крыма от немецко-фашистских захватчиков , а так же на выплату  адресной материальной помощи партизанам и подпольщикам ко Дню партизанской славы (субвенция из бюджета АРК)</t>
  </si>
  <si>
    <t>мероприятия по реализации программы развития и реформирования жилищно-коммунального хозяйства г.Евпатории на 2011-2015 годы</t>
  </si>
  <si>
    <t>Код типовой ведомственной классификации расходов местного бюджета</t>
  </si>
  <si>
    <t>41037000 Субвенция  из бюджета Республики Крым на проведение выборов депутатов представительных органов муниципальных образований в Республике Крым</t>
  </si>
  <si>
    <t xml:space="preserve">41020900 Субвенция на модернизацию региональных систем дошкольного образования в рамках подпрограммы "Развитие дошкольного, общего и дополнительного детей" государственной программы Российской Федерации "Развитие образования" на 2013-2020 годыобразования в рамках подпрограммы "Развитие </t>
  </si>
  <si>
    <t>41030300  Иные межбюджетные трансферты бюджету Республики Крым на финансовое обеспечение в 2014 году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</si>
  <si>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41034400Субвенция из государственного бюджета местным бюджетам  на строительство, реконструкцию, ремонт и содержание улиц и дорог коммунальной собственности в населённых пунктах</t>
  </si>
  <si>
    <t>Обеспечение надлежащих условий для воспитания и развития детей-сирот и детей, лишённых родительской опеки, в детских домах семейного типа и приёмных семьях</t>
  </si>
  <si>
    <t>О70303</t>
  </si>
  <si>
    <t>О90302</t>
  </si>
  <si>
    <t>О90303</t>
  </si>
  <si>
    <t>Помощь при роджении ребенка</t>
  </si>
  <si>
    <t>О90304</t>
  </si>
  <si>
    <t>Помощь на детей над которыми установлена  опека или  попечительство</t>
  </si>
  <si>
    <t>О90305</t>
  </si>
  <si>
    <t>Помощь на детей одиноким матерям</t>
  </si>
  <si>
    <t>О90306</t>
  </si>
  <si>
    <t>Временная государственная помощь  детям</t>
  </si>
  <si>
    <t>О90307</t>
  </si>
  <si>
    <t>Помощь при усыновлении ребенка</t>
  </si>
  <si>
    <t>О90308</t>
  </si>
  <si>
    <t>О90401</t>
  </si>
  <si>
    <t>Государственная социальная помощь  инвалидам с детства и детям -инвалидам</t>
  </si>
  <si>
    <t>О91300</t>
  </si>
  <si>
    <t>Компенсационные выплаты на льготный проезд электротранспортом отдельным категориям граждан (субвенция из бюджета Республики Крым)</t>
  </si>
  <si>
    <t xml:space="preserve">Расходы на проведение работ, связанных со строительством, реконструкцией, ремонтом и содержанием автомобильных дорог (кредиторская задолженность) </t>
  </si>
  <si>
    <t>Расходы на проведение работ, связанных со строительством, реконструкцией, ремонтом и содержанием автомобильных дорог (субвенция из Государственного бюджета )</t>
  </si>
  <si>
    <t>Субвенция местным бюджетам на предоставление льгот по услугам связи,  других предусмотренных законодательством льгот (кроме  льгот  на получение лекарств,   зубопротезирование,   оплату   электроэнергии, природного и сжиженного газа на  бытовые  нужды,  твердого  и жидкого печного бытового топлива, услуг тепло-, водоснабжения и водоотведения,  квартирной платы (содержание домов и сооружений  и придомовых  территорий),  вывоза  бытового мусора и жидких нечистот),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топлива и на компенсацию за льготный проезд отдельных категорий граждан</t>
  </si>
  <si>
    <t>Субвенция местным бюджетам на предоставление льгот и жилищных субсидий населению на приобретение твердого и жидкого  печного бытового топлива и сжиженного газа</t>
  </si>
  <si>
    <t>Субвенция местным бюджетам на обеспечение питанием (завтраками) учеников 5-11 классов общеобразовательных учебных заведений</t>
  </si>
  <si>
    <t>Субвенция местным бюджетам  на строительство, реконструкцию, ремонт и содержание улиц и дорог коммунальной собственности в населённых пунктах</t>
  </si>
  <si>
    <t>Субвенция местным бюджетам на частичную компенсацию стоимости лекарственных препаратов для лечения лиц с гипертонической болезнью</t>
  </si>
  <si>
    <t>Прочие субвенции, в том числе:</t>
  </si>
  <si>
    <t xml:space="preserve"> -  из поселковых бюджетов </t>
  </si>
  <si>
    <t>Субвенция на увеличение финансовых нормативов для оказания социальных услуг получателям, проживающим в границах территориальной громады Заозерненского поселкового совета, на оказание услуг первичной медицинской помощи врачебной амбулаторией</t>
  </si>
  <si>
    <t>Субвенция на проведение расходов местных бюджетов, которые учитываются при определении объема межбюджетных трансфертов, в том числе:</t>
  </si>
  <si>
    <t xml:space="preserve"> -из бюджета Республики Крым, из них:</t>
  </si>
  <si>
    <t xml:space="preserve">       на захоронение участников боевых действий и инвалидов войны </t>
  </si>
  <si>
    <t xml:space="preserve">       на  предоставление помощи по уходу  за инвалидом 1 или 2 группы вследствие психического расстройства</t>
  </si>
  <si>
    <t xml:space="preserve">       на предоставление льгот по медицинскому обслуживанию гражданам, пострадавшим вследствие Чернобыльской катастрофы</t>
  </si>
  <si>
    <t xml:space="preserve">       на компенсационные выплаты инвалидам на бензин, ремонт, техобслуживание автотранспорта и транспортное обслуживание, предоставление льгот на установку телефонов инвалидам 1 и 2 групп</t>
  </si>
  <si>
    <t>Субвенция на проведение расходов местных бюджетов, которые не учитываются при определении объема межбюджетных трансфертов, в том числе:</t>
  </si>
  <si>
    <t xml:space="preserve">       на прочие расходы на социальную защиту населения (мероприятия по социальной поддержке малообеспеченных граждан, инвалидов и других категорий граждан)</t>
  </si>
  <si>
    <t xml:space="preserve">       на предоставление льгот отдельным категориям граждан на жилищно-коммунальные услуги и твердое топливо </t>
  </si>
  <si>
    <t xml:space="preserve">        на  выплату единовременного вознаграждения участникам обороны и освобождения Крыма от немецко-фашистских захватчиков, а также на выплату адресной материальной помощи партизанам и подпольщикам ко Дню партизанской славы</t>
  </si>
  <si>
    <t xml:space="preserve">     на социальную помощь женщинам, удостоенным почетного звания Украины "Мать-героиня", проживающим в Республике Крым на жилищно-коммунальные услуги </t>
  </si>
  <si>
    <t xml:space="preserve">   на обеспечение государственных гарантий бесплатного оказания гражданам медицинской помощи</t>
  </si>
  <si>
    <t xml:space="preserve">   на финансирование программ-победителей одиннадцатого Всекрымского конкурса проектов и программ развития местного самоуправления</t>
  </si>
  <si>
    <t xml:space="preserve">   на реализацию мероприятий Государственной программы Республики Крым «Модернизация финансовой системы Республики Крым на 2014 год»</t>
  </si>
  <si>
    <t xml:space="preserve">  на компенсацию собственных поступлений бюджетных учреждений, заблокированных в органах Государственной казначейской службы Украины</t>
  </si>
  <si>
    <t xml:space="preserve">  на инвестиционные проекты по социально-экономическому развитию</t>
  </si>
  <si>
    <t>Субвенция на выплату государственной социальной помощи на детей-сирот и детей, лишенных родительского попечительства, денежного обеспечения родителям - 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t>
  </si>
  <si>
    <t>Субвенция  из бюджета Республики Крым на проведение выборов депутатов представительных органов муниципальных образований в Республике Крым</t>
  </si>
  <si>
    <t xml:space="preserve">криминально-исполнительной системы, государственной пожарной охраны, погибших или умерших в связи с выполнением служебных обязанностей, неработоспособным членам семей, которые находились на их иждивении, уволеным с военной службы лицам, которые стали инвалидами во время прохождения военной службы,  родителям и членам семей военнослужащих, которые погибли (умерли) или пропали без вести во время прохождения военной службы, родителям и членам семей лиц рядового и начальственного состава органов и подразделов гражданской защиты, Государственной службы  специальной связи и защиты информации Украины, которые погибли (умерли), пропали безвести или стали инвалидами при прохождении службы, на жилищно-коммунальные услуги </t>
  </si>
  <si>
    <t>Приложение 7</t>
  </si>
  <si>
    <t>от 24.01.2014г.  № 6-55/9_</t>
  </si>
  <si>
    <t>Перечень объектов,</t>
  </si>
  <si>
    <t>по субсидиям, предоставляемых в 2014 году из федерального бюджета бюджету Республики Крым на модернизацию региональных систем дошкольного образования в рамках подпрограммы «Развитие дошкольного, общего и дополнительного образования детей» государственной программы Российской Федерации «Развитие образования» на 2013-2020 годы</t>
  </si>
  <si>
    <t>Дотации выравнивания из государственного бюджета местным бюджетам (из Государственного бюджета Украины)</t>
  </si>
  <si>
    <t xml:space="preserve">Магистральные тепловые сети от районной котельной VIII микрорайона по ул.Чапаева, 119 г.Евпаториb с предизолированными трубами ТГИ ПО D638/800мм. Реконструкция </t>
  </si>
  <si>
    <t>рядового и начальственного состава криминально-исполнительной системы, государственной пожарной охраны, погибших или умерших в связи с выполнением служебных обязанностей, неработоспособным членам семей, которые находились на их иждивении, уволеным с военной службы лицам, которые стали инвалидами во время прохождения военной службы,  родителям и членам семей военнослужащих, которые погибли (умерли) или пропали без вести во время прохождения военной службы, родителям и членам семей лиц рядового и начальственного состава органов и подразделов гражданской защиты, Государственной службы  специальной связи и защиты информации Украины, которые погибли (умерли), пропали безвести или стали инвалидами при прохождении службы,  на жилищно-коммунальные услуги (субвенция из Государственного бюджета Украины)</t>
  </si>
  <si>
    <t>Прочие расходы (Субвенция из бюджета Республики Крым)</t>
  </si>
  <si>
    <t>Прочие льготы ветеранам войны, лицам, на которые распространяется действие Закона Украины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ветеранам труда,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(субвенция из Государственного бюджета Украины)</t>
  </si>
  <si>
    <t>в т.ч. мероприятия в сфере защиты населения и территорий от чрезвычайных ситуаций техногенного и природного характера</t>
  </si>
  <si>
    <t xml:space="preserve">Прочие льготы ветеранам войны, лицам, на которые распространяется действие Закона Украины "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ветеранам труда,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t>
  </si>
  <si>
    <t>Помощь на захоронение участников боевых действий и инвалидов войны (субвенция из бюджета Республики Крым)</t>
  </si>
  <si>
    <t>Мероприятия по оздоровлению и отдыху детей, кроме мероприятий по оздоровлению детей, которые осуществляются за счет средств на оздоровление граждан, которые пострадали вследствие Чернобыльской катастрофы</t>
  </si>
  <si>
    <t xml:space="preserve">Компенсационные выплаты на льготный проезд автомобильным транспортом отдельным категориям граждан </t>
  </si>
  <si>
    <t xml:space="preserve">Компенсационные выплаты за льготный проезд отдельных категорий граждан на железнодорожном транспорте </t>
  </si>
  <si>
    <t>090210</t>
  </si>
  <si>
    <t xml:space="preserve">Льготы  многодетным семьям на жилищно-коммунальные услуги </t>
  </si>
  <si>
    <t>090215</t>
  </si>
  <si>
    <t>090405</t>
  </si>
  <si>
    <t>090203</t>
  </si>
  <si>
    <t>090209</t>
  </si>
  <si>
    <t>Льготы отдельным категориям граждан на услуги связи</t>
  </si>
  <si>
    <t>090214</t>
  </si>
  <si>
    <t xml:space="preserve">Льготы ветеранам войны, лицам, на которые распространяется действие Закона Украины "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детям войны,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на жилищно-коммунальные услуги </t>
  </si>
  <si>
    <t>Приложение 9</t>
  </si>
  <si>
    <t>от 29.12.2014г. № 1-12/10</t>
  </si>
  <si>
    <t xml:space="preserve">Льготы ветеранам военной службы, ветеранам органов внутренних дел, ветеранам   налоговой милиции, ветеранам государственной пожарной охраны, ветеранам Государственной криминально-исполнительной службы, ветеранам службы гражданской защиты, ветеранам Государственной  службы специальной связи и защиты информации Украины, вдовам (вдовцам) умерших (погибших) ветеранов военной  службы , ветеранов органов внутренних дел, ветеранов налоговой милиции, ветеранов государственной пожарной охраны, ветеранов Государственной криминально-исполнительной службы, ветеранов службы гражданской защиты, </t>
  </si>
  <si>
    <t xml:space="preserve">ветеранов Государственной  службы специальной связи и защиты информации Украины,и государственной пожарной охраны, а также уволенным со службы по годам, болезни или выслугой лет работникам милиции, лицам начальствующего состава налоговой милиции, рядового и начальствующего состава криминально-исполнительной системы, государственной пожарной охраны, детям (до достижения полнолетия) работников милиции, лиц начальствующего состава налоговой милиции, рядового и начальствующего состава криминально-исполнительной системы </t>
  </si>
  <si>
    <t>Субвенция из государственного бюджета местным бюджетам на частичное возмещение стоимости лекарственных препаратов для лечения лиц с гипертонической болезнью</t>
  </si>
  <si>
    <t>Субвенция на обеспечение питанием (завтраками) учеников 5-11 классов общеобразоватиельных учебных заведений</t>
  </si>
  <si>
    <t>Итого из Государственного бюджета Украины</t>
  </si>
  <si>
    <r>
      <t>Распределение</t>
    </r>
    <r>
      <rPr>
        <sz val="28"/>
        <rFont val="Times New Roman"/>
        <family val="1"/>
      </rPr>
      <t xml:space="preserve"> </t>
    </r>
    <r>
      <rPr>
        <b/>
        <sz val="28"/>
        <rFont val="Times New Roman"/>
        <family val="1"/>
      </rPr>
      <t>субвенций из  бюджета  Республики Крым на 2014 год</t>
    </r>
  </si>
  <si>
    <t>Прочие 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t>
  </si>
  <si>
    <t xml:space="preserve">Компенсация лицам, которые в соответствии со статьями 43 и 48 Горного закона Украины имеют право на бесплатное получение угля на бытовые нужды, но проживают в домах, имеющих центральное отопление </t>
  </si>
  <si>
    <t xml:space="preserve">Государственная социальная помощь  инвалидам с детства и детям-инвалидам </t>
  </si>
  <si>
    <t xml:space="preserve">Компенсационные выплаты на льготный проезд электротранспортом отдельным категориям граждан </t>
  </si>
  <si>
    <t>Дополнительная дотация из  бюджета Республики Крым на выравнивание финансовой обеспеченности местных бюджетов</t>
  </si>
  <si>
    <t>090207</t>
  </si>
  <si>
    <t xml:space="preserve">Субсидии населению для возмещения затрат на приобретение твердого и жидкого печного бытового топлива топлива и сжиженного газа </t>
  </si>
  <si>
    <t xml:space="preserve">Помощь при усыновлении ребенка </t>
  </si>
  <si>
    <t>Помощь на захоронение участников боевых действий  и инвалидов войны (субвенция из бюджета РК)</t>
  </si>
  <si>
    <t>в т.ч. на предоставление льгот отдельным категориям граждан на жилищно-коммунальные услуги  (субвенция из бюджета РК)</t>
  </si>
  <si>
    <t>в т.ч. На социальную женщинам,удостоенным почетного звания Украины "Мать-героиня", проживающим в Автономной Республики Крым на жилищно-коммунальные услуги ( субвенция из бюджета РК)</t>
  </si>
  <si>
    <t>капитальные расходы за счет средств, которые передаются из общего фонда в бюджет развития (специального фонда)</t>
  </si>
  <si>
    <t>Субвенция на проведенгие расходов местных бюджетов, которые не учитываются при определении объема межбюджетных трансфертов( субвенция из бюта Республики Крым бюджетам городов и районов на обеспечение государственных гарантий бесплатного оказания гражданам медицинской помощи)</t>
  </si>
  <si>
    <t>Проведение выборов депутатов представительных органов муниципальных образований в Республике Крым ( субвенция из бюджета Республики Крым )</t>
  </si>
  <si>
    <t>Охрана здоровья населения</t>
  </si>
  <si>
    <t>Культура</t>
  </si>
  <si>
    <t>Общие и специализированные стоматологические поликлиники</t>
  </si>
  <si>
    <t>Разработка схем и проектных решений массового применения</t>
  </si>
  <si>
    <t>целевой фонд развития инфраструктуры города</t>
  </si>
  <si>
    <t xml:space="preserve">Содержание и учебно-тренировочная работа детско-юношеских спортивных школ </t>
  </si>
  <si>
    <t>Компенсационные выплаты инвалидам на бензин, ремонт, техобслуживание автотранспорта и транспортное обслуживание (субвенция из бюджета Республики Крым)</t>
  </si>
  <si>
    <t>Проектно-изыскательные работы и экспертиза (устройство пандуса и перепланировка туалета) (ЕУВК "Интеграл" и ЕОШ №15)</t>
  </si>
  <si>
    <t>Модернизация региональных систем дошкольного образования в рамках подпрограммы "Развитие дошкольного, общего и дополнительного образования детей" государственной программы Российской Федерации "Развитие оброазования" на 2013-2020 годы"(субвенция и з бюджета Республики Крым)</t>
  </si>
  <si>
    <t>в т.ч. субвенция на обеспечение питанием (завтраками) учеников 5-11 классов общеобразовательных учебных заведений( субвенция из  бюджета  Республики Крым)</t>
  </si>
  <si>
    <t>080000</t>
  </si>
  <si>
    <t>080101</t>
  </si>
  <si>
    <t>080102</t>
  </si>
  <si>
    <t>080203</t>
  </si>
  <si>
    <t>080500</t>
  </si>
  <si>
    <t>080704</t>
  </si>
  <si>
    <t>081002</t>
  </si>
  <si>
    <t>081003</t>
  </si>
  <si>
    <t>081007</t>
  </si>
  <si>
    <t>081008</t>
  </si>
  <si>
    <t>081009</t>
  </si>
  <si>
    <t>Капитальный ремонт помещений (проведение экспертизы) "ЕОШ №2, ЕУВК "Гимназия им. И.Сельвинского", ЕУВК "интеграл", ЕУВК "Школа №14 - Лицей", ЕОШ №18, ЕОШ №12)</t>
  </si>
  <si>
    <t>в т.ч. выплата государственной социальной помощи на детей-сирот и детей, лишенных родительского попечения,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(субвенция из Государственного бюджета Украины)</t>
  </si>
  <si>
    <t xml:space="preserve">Детские дома (в том числе семейного типа, приемные семьи) </t>
  </si>
  <si>
    <t>Компенсационные выплаты на льготный проезд автомобильным транспортом отдельным категориям граждан (субвенция из Государственного бюджета Украины)</t>
  </si>
  <si>
    <t>081010</t>
  </si>
  <si>
    <t>070303</t>
  </si>
  <si>
    <t>090212</t>
  </si>
  <si>
    <t>090302</t>
  </si>
  <si>
    <t>090303</t>
  </si>
  <si>
    <t>090304</t>
  </si>
  <si>
    <t>090305</t>
  </si>
  <si>
    <t>090306</t>
  </si>
  <si>
    <t>090307</t>
  </si>
  <si>
    <t>090308</t>
  </si>
  <si>
    <t>090401</t>
  </si>
  <si>
    <t>090412</t>
  </si>
  <si>
    <t>090413</t>
  </si>
  <si>
    <t>Субсидии населению для возмещения затрат на приобретение твердого и жидкого печного бытового топлива топлива и сжиженного газа (субвенция из Государственного бюджета Украины)</t>
  </si>
  <si>
    <t>Управление по физической культуре и спорту Евпаторийского городского совета</t>
  </si>
  <si>
    <t>Другие мероприятия, связанные с экономической деятельностью (молодежные трудовые отряды)</t>
  </si>
  <si>
    <t>Дворцы и дома культуры, клубы и другие учреждения клубного типа</t>
  </si>
  <si>
    <t>090417</t>
  </si>
  <si>
    <t>091204</t>
  </si>
  <si>
    <t>091205</t>
  </si>
  <si>
    <t>091209</t>
  </si>
  <si>
    <t>091300</t>
  </si>
  <si>
    <t>091303</t>
  </si>
  <si>
    <t>091304</t>
  </si>
  <si>
    <t>110000</t>
  </si>
  <si>
    <t>110502</t>
  </si>
  <si>
    <t>170102</t>
  </si>
  <si>
    <t>Расходы, не отнесенные к основным группам</t>
  </si>
  <si>
    <t>Резервный фонд</t>
  </si>
  <si>
    <t>Всего расходов</t>
  </si>
  <si>
    <t>Итого расходов</t>
  </si>
  <si>
    <t>Льготы пенсионерам из числа специалистов по защите растений, предусмотренные частью четвертой статьи 20 Закона Украины "О защите растений", гражданам, предусмотренные пунктом "и" части первой статьи 77 Основ законодательства об охране здоровья, частью четвертой статьи 29 Основ законодательства о культуре, частью второй статьи 30 Закона Украини "О библиотеках и библиотечном деле", абзацем первым части четвертой статьи 57 Закона Украины "Об образовании", на бесплатное пользование жильем, отоплением и освещением"</t>
  </si>
  <si>
    <t>Средства от реализации бесхозяйного имущества, находок, наследственного имущества, имущества, полученного территориальной громадой в порядке наследования или дарения, а также валютные ценности и денежные средства, владельцы которых неизвестны</t>
  </si>
  <si>
    <t>Средства от отчуждения имущества, которое принадлежит Республике Крым и имущества, которое находится в коммунальной собственности</t>
  </si>
  <si>
    <t>Средства от продажи земли</t>
  </si>
  <si>
    <t xml:space="preserve">Средства от продажи земельных участков несельскохозяйственного назначения, которые находятся в государственной или коммунальной собственности, и земельных участков, которые находятся на территории Республики Крым </t>
  </si>
  <si>
    <t>Официальные трансферты</t>
  </si>
  <si>
    <t>От органов государственного управления</t>
  </si>
  <si>
    <t>Средства, которые поступают из других бюджетов</t>
  </si>
  <si>
    <t>Средства, которые поступают  в районные и городские (городов Киева и Севастополя, городов республиканского и областного значения) бюджеты из городских (городов районного значения), поселковых, сельских и районных в городах бюджетов</t>
  </si>
  <si>
    <t xml:space="preserve">Иные межбюджетные трансферты на финансовое обеспечение мероприятий по модернизации региональных систем образования Республики Крым </t>
  </si>
  <si>
    <t>Дотации</t>
  </si>
  <si>
    <t>Управление образования Евпаторийского городского совета</t>
  </si>
  <si>
    <t>Капитальный ремонт перекрытия ЕОШ №2</t>
  </si>
  <si>
    <t>Капитальный ремонт помещений спортзала</t>
  </si>
  <si>
    <t>Капитальный ремонт кровли ДУЗ,ЕУВК</t>
  </si>
  <si>
    <t>Приобретение компьютерной техники ,програмное обеспечение</t>
  </si>
  <si>
    <t xml:space="preserve">Приобретение оборудования навигации для школьного автобуса </t>
  </si>
  <si>
    <t xml:space="preserve">Капитальный ремонт актового зала ЕОШ </t>
  </si>
  <si>
    <t>Приобретение  оборудования и компьютерной техники для СЮН</t>
  </si>
  <si>
    <t>Приобретение технических средств  для кружков СЮТ</t>
  </si>
  <si>
    <t>Приобретение классных досок</t>
  </si>
  <si>
    <t>Капитальный ремонт нежилых помещений по ул.Некрасова,45, в т.ч. ПИР</t>
  </si>
  <si>
    <t>Приобретение оборудования для пищеблоков</t>
  </si>
  <si>
    <t>выполнгение работ по техническому обследованию  ДУЗ №20</t>
  </si>
  <si>
    <t>Капитальный ремонт нежилых помещений по ул.Некрасова,45, в т.ч. ПИР(погашение задолженности за 2013 год)</t>
  </si>
  <si>
    <t>Установка кондиционеров в читальном зале центральной библиотеки</t>
  </si>
  <si>
    <t>Приобретение звукового и светового оборудования</t>
  </si>
  <si>
    <t>Приобретение реквизита для центра досуга</t>
  </si>
  <si>
    <t>Приобретение оборудования, мебели и элементов декора для оформления музея Крымской войны (погашение задолженности за 2013 год)</t>
  </si>
  <si>
    <t>21</t>
  </si>
  <si>
    <t xml:space="preserve">Капитальный ремонт кровли </t>
  </si>
  <si>
    <t>Замена отопительного котла</t>
  </si>
  <si>
    <t>Замена окон</t>
  </si>
  <si>
    <t>13</t>
  </si>
  <si>
    <t>Приобретение спортинвентаря</t>
  </si>
  <si>
    <t>Приобретение спортоборудования-спец тренажеров для занятий лиц с ограниченными физическими возможностями</t>
  </si>
  <si>
    <t>Капитальный ремонт кровли КП ДС</t>
  </si>
  <si>
    <t>Приобретение сборно-разборных трибун</t>
  </si>
  <si>
    <t>250359</t>
  </si>
  <si>
    <t>Субсидии из федерального бюджета бюджету Республики Крым на реализацию мероприятий , включенных в программу Республики Крым, разработанную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</si>
  <si>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Субсидии, предоставляемые в 2014 году их федерального бюджета  бюджету Республики Крым на модернизацию региональных систем дошкольного,общего и дополнительного образования детей" государственной программы Российской Федерации "Развитие образования " на 2013-2020 годы" ( Субвенция из бюджета Республики Крым)</t>
  </si>
  <si>
    <t>в т.ч. Субвенция из бюджета Автономной Республики Крым</t>
  </si>
  <si>
    <t>090205</t>
  </si>
  <si>
    <t xml:space="preserve">Льготы гражданам, которые пострадали вследствие Чернобыльской катастрофы, женам (мужьям) и опекунам (на момент опекунства) детей умерших гражлан, смерть которых связана с Чернобыльской катастрофой, на приобретение твердого топлива </t>
  </si>
  <si>
    <t>090208</t>
  </si>
  <si>
    <t>в т.ч субвенция из Государственного бюджета Украины</t>
  </si>
  <si>
    <t>Реконструкция детского сада "Космос" в г.Евпатории. Корректировка( субвенция из бюджета Республики Крым)</t>
  </si>
  <si>
    <t>Капитальный ремонт жилого фонда</t>
  </si>
  <si>
    <t xml:space="preserve">Приобретение оборудования детских,  спортивных площадок </t>
  </si>
  <si>
    <t>Капитальный ремонт сетей наружного освещения</t>
  </si>
  <si>
    <t>Капитальный ремонт благоустройства территории на пересечении  улиц Революции, Эскадронной, Симферопольской</t>
  </si>
  <si>
    <t>Капитальный ремонт внутреннего проезда на территории парка им.Фрунзе с установкой технических средств регулирования дорожного движения</t>
  </si>
  <si>
    <t>Приобретение теплообменника</t>
  </si>
  <si>
    <t>Установка приборов технологического учета тепловой энергии (в т.ч.ПИР,  экспертиза)</t>
  </si>
  <si>
    <t>Капитальный ремонт улично-дорожной сети</t>
  </si>
  <si>
    <t>Капитальный ремонт светофорных объектов</t>
  </si>
  <si>
    <t>Капитальный ремонт памятника Т.Г.Шевченко и прилегающей территории на ул.Шевченко в г.Евпатория</t>
  </si>
  <si>
    <t>Капитальный ремонт помещений КП "Трамвайное управление им.Пятецкого"для организации "Музея городского трамвая"</t>
  </si>
  <si>
    <t>Капитальный ремонт аварийных конструктивных элементов жилых домов (в т.ч.ПИР, экспертиза)</t>
  </si>
  <si>
    <t>Приобретение спецтехники и оборудования</t>
  </si>
  <si>
    <t>Комплексная городская Программа развития санаторно-курортного и туристического комплекса города Евпатории на 2012-2015 годы ( решение городского совета от 26.08.2011г. №6-12/6)</t>
  </si>
  <si>
    <t>мероприятия в рамках Программы содействия развитию гражданского общества в городе Евпатории на 2014-2017 годы</t>
  </si>
  <si>
    <t>Помощь в связи с беременностью и родами (субвенция из Государственного бюджета Украины)</t>
  </si>
  <si>
    <t>Дошкольное образование</t>
  </si>
  <si>
    <t>в т.ч.на  прочие расходы на социальную защиту населения (мероприятия по социальной поддержке малообеспеченных граждан, инвалидов и других категорий граждан)  (субвенция из бюджета Республики Крым)</t>
  </si>
  <si>
    <t>в т.ч на выплату единовременного вознаграждения участникам обороны и освобождения Крыма от немецко-фашистских захватчиков , а так же на выплату  адресной материальной помощи партизанам и подпольщикам ко Дню партизанской славы (субвенция из бюджета Республики Крым)</t>
  </si>
  <si>
    <t>в т.ч на выплату материальной помощи на приобретение твердого топлива (субвенция из бюджета Республики Крым)</t>
  </si>
  <si>
    <t>Помощь по уходу за инвалидом 1 и 2 группы вследствие психического расстройства (субвенция из бюджета Республики Крым)</t>
  </si>
  <si>
    <t>Компенсация лицам, которые в соответствии со статьями 43 и 48 Горного закона Украины имеют право на бесплатное получение угля на бытовые нужды, но проживают в домах, имеющих центральное отопление (субвенция из бюджета Республики Крым)</t>
  </si>
  <si>
    <t>Программы и централизованные мероприятия борьбы с туберкулезом</t>
  </si>
  <si>
    <t>Программы и централизованные мероприятия профилактики СПИДа</t>
  </si>
  <si>
    <t>Централизованные мероприятия по лечению онкологических больных</t>
  </si>
  <si>
    <t>Охрана и рациональное использование природных ресурсов</t>
  </si>
  <si>
    <t xml:space="preserve">Финансовая поддержка спортивных сооружений </t>
  </si>
  <si>
    <t xml:space="preserve">Льготы ветеранам военной службы, ветеранам органов внутренних дел, ветеранам налоговой милиции, ветеранам государственной пожарной охраны, ветеранам Государственной криминально-исполнительной службы, ветеранам службы гражданской защиты, ветеранам  Государственной службы специальной связи и защиты информации Украины, вдовам (вдовцам) умерших (погибших) ветеранов военной службы, ветеранов органов внутренних дел, ветеранов налоговой милиции, ветеранов государственной пожарной охраны, ветерановГосударственной криминально-исполнительной службы, ветеранов службы гражданской защиты и ветеранов Государственной службы специальной связи и защиты информации Украины,освобожденным из службы по возрасту, болезни или выслугой лет военнослужащим Службы безопасности Украины, работникам милиции, лицам  начальственного состава налоговой милиции, рядового и начальственного  состава криминально исполнительной системы, государственной пожарной охраны, пенсионерам из числа следователей прокуратуры, детям (до достижения совершеннолетия) работников милиции, лиц начальственного состава налоговой милиции, рядового и начальственного состава </t>
  </si>
  <si>
    <t>Помощь по уходу за инвалидом 1 и 2 группы вследствие психического расстройства (субвенция из бюджета АРК)</t>
  </si>
  <si>
    <t>Расходы за счет иных межбюджетных трансфертов на финансовое обеспечение мероприятий по модернизации региональных систем образования Республики Крым</t>
  </si>
  <si>
    <t>Управление культуры Евпаторийского городского совета</t>
  </si>
  <si>
    <t xml:space="preserve">Территориальные центры социального обслуживания (предоставления социальных услуг) </t>
  </si>
  <si>
    <t>в т.ч.  на финансирование программ-победителей одиннадцатого Всекрымского конкурса проектов и программ развития местного самоуправленгия (субвенция из бюджета республики Крым)</t>
  </si>
  <si>
    <t>Субвенция на проведенгие расходов местных бюджетов, которые не учитываются при определении объема межбюджетных трансфертов( субвенция из бютджета Республики Крым бюджетам городов и районов на обеспечение государственных гарантий бесплатного оказания гражданам медицинской помощи)</t>
  </si>
  <si>
    <t xml:space="preserve"> субвенция из бюджета РК бюджетам городов и районов на финансирование программ-победителей одиннадцатого Всекрымского конкурса проектов и программ развития местного самоуправленгия</t>
  </si>
  <si>
    <t>Перинатальные центры, родильные дома</t>
  </si>
  <si>
    <t>Другие услуги, связанные с экономической деятельностью</t>
  </si>
  <si>
    <t xml:space="preserve">оплата труда </t>
  </si>
  <si>
    <t>Расходы на проведение работ, связанных со строительством, реконструкцией, ремонтом и содержанием автомобильных дорог (остаток на 01.01.2014г.по субвенции )</t>
  </si>
  <si>
    <t>180000</t>
  </si>
  <si>
    <t xml:space="preserve">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  на жилищно-коммунальные услуги (субвенция из бюджета Республики Крым) </t>
  </si>
  <si>
    <t>Налог на доходы физических лиц с денежного обеспечения, денежных вознаграждений и других выплат, полученных военнослужащими и лицами рядового и начальственного состава, который уплачивается налоговыми агентами</t>
  </si>
  <si>
    <t>Налог на доходы физических лиц, который уплачивается налоговыми агентами, из доходов плательщика налога других чем заработная плата</t>
  </si>
  <si>
    <t>Налог на доходы физических лиц, который уплачивается физическими лицами по результатам годового декларирования</t>
  </si>
  <si>
    <t xml:space="preserve">Налог на прибыль предприятий </t>
  </si>
  <si>
    <t>Льготы ветеранам войны, лицам, на которые распространяется действие Закона Украины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детям войны,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на жилищно-коммунальные услуги (субвенция из Государственного бюджета Украины)</t>
  </si>
  <si>
    <t xml:space="preserve">Целевые фонды </t>
  </si>
  <si>
    <t>Социальные программы и мероприятия государственных органов по делам молодежи</t>
  </si>
  <si>
    <t>Детские дома (в том числе семейного типа, приемные семьи)</t>
  </si>
  <si>
    <t>Субвенция из государственного бюджета на строительстьво, реконструкцию, ремонт и содержание улиц и дорог коммунальной собственности в населенных пунктах.</t>
  </si>
  <si>
    <t>Государственная социальная помощь малообеспеченным семьям (субвенция из бюджета Республики Крым)</t>
  </si>
  <si>
    <t>Субсидии населению для возмещения затрат  на оплату жилищно-коммунальных услуг (субвенция из бюджета Республики Крым)</t>
  </si>
  <si>
    <t>Дополнительная дотация на выравнивание финансовой обеспеченности местных бюджетов (из бюджета Республики Крым)</t>
  </si>
  <si>
    <t>Иные межбюджетные трансферты бюджету Республики Крым,</t>
  </si>
  <si>
    <t>в том числе:</t>
  </si>
  <si>
    <t>дотация выравнивания</t>
  </si>
  <si>
    <t>субсидия из федерального бюджета бюджету Республики Крым на реализацию мероприятий, включенных в программу Республики Крым, разработанную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</si>
  <si>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субсидия из федерального бюджета на реализацию мероприятий региональных программ модернизации здравоохранения Республики Крым в 2014 году</t>
  </si>
  <si>
    <t>Субвенции</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</si>
</sst>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Red]0.00"/>
    <numFmt numFmtId="181" formatCode="0.000"/>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
    <numFmt numFmtId="188" formatCode="0_ ;[Red]\-0\ "/>
    <numFmt numFmtId="189" formatCode="0.00000"/>
    <numFmt numFmtId="190" formatCode="000000"/>
    <numFmt numFmtId="191" formatCode="#,##0.000\ &quot;грн.&quot;"/>
    <numFmt numFmtId="192" formatCode="#,##0.000"/>
    <numFmt numFmtId="193" formatCode="0.0000"/>
    <numFmt numFmtId="194" formatCode="0.0%"/>
    <numFmt numFmtId="195" formatCode="0.00000%"/>
    <numFmt numFmtId="196" formatCode="0\3"/>
  </numFmts>
  <fonts count="94">
    <font>
      <sz val="10"/>
      <name val="Arial"/>
      <family val="0"/>
    </font>
    <font>
      <sz val="8"/>
      <name val="Arial"/>
      <family val="0"/>
    </font>
    <font>
      <u val="single"/>
      <sz val="7.5"/>
      <color indexed="12"/>
      <name val="Arial"/>
      <family val="0"/>
    </font>
    <font>
      <u val="single"/>
      <sz val="7.5"/>
      <color indexed="36"/>
      <name val="Arial"/>
      <family val="0"/>
    </font>
    <font>
      <sz val="10"/>
      <name val="Times New Roman"/>
      <family val="1"/>
    </font>
    <font>
      <b/>
      <sz val="10"/>
      <name val="Times New Roman"/>
      <family val="1"/>
    </font>
    <font>
      <sz val="10"/>
      <color indexed="8"/>
      <name val="Times New Roman"/>
      <family val="1"/>
    </font>
    <font>
      <b/>
      <sz val="12"/>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
      <b/>
      <sz val="10"/>
      <name val="Arial Cyr"/>
      <family val="0"/>
    </font>
    <font>
      <sz val="9"/>
      <name val="Times New Roman"/>
      <family val="1"/>
    </font>
    <font>
      <sz val="7"/>
      <name val="Times New Roman"/>
      <family val="1"/>
    </font>
    <font>
      <sz val="11"/>
      <name val="Times New Roman"/>
      <family val="1"/>
    </font>
    <font>
      <sz val="13"/>
      <name val="Times New Roman"/>
      <family val="1"/>
    </font>
    <font>
      <b/>
      <sz val="13"/>
      <name val="Times New Roman"/>
      <family val="1"/>
    </font>
    <font>
      <sz val="13"/>
      <color indexed="8"/>
      <name val="Times New Roman"/>
      <family val="1"/>
    </font>
    <font>
      <sz val="10"/>
      <name val="Arial Cyr"/>
      <family val="2"/>
    </font>
    <font>
      <sz val="16"/>
      <name val="Times New Roman"/>
      <family val="1"/>
    </font>
    <font>
      <sz val="14"/>
      <name val="Times New Roman"/>
      <family val="1"/>
    </font>
    <font>
      <b/>
      <sz val="14"/>
      <name val="Times New Roman"/>
      <family val="1"/>
    </font>
    <font>
      <sz val="18"/>
      <name val="Times New Roman"/>
      <family val="1"/>
    </font>
    <font>
      <sz val="14"/>
      <name val="Helv"/>
      <family val="0"/>
    </font>
    <font>
      <b/>
      <sz val="18"/>
      <name val="Times New Roman"/>
      <family val="1"/>
    </font>
    <font>
      <b/>
      <sz val="14"/>
      <name val="Arial"/>
      <family val="2"/>
    </font>
    <font>
      <b/>
      <sz val="18"/>
      <name val="Arial"/>
      <family val="2"/>
    </font>
    <font>
      <b/>
      <sz val="16"/>
      <name val="Times New Roman"/>
      <family val="1"/>
    </font>
    <font>
      <sz val="14"/>
      <name val="Arial"/>
      <family val="2"/>
    </font>
    <font>
      <b/>
      <sz val="18"/>
      <color indexed="10"/>
      <name val="Times New Roman"/>
      <family val="1"/>
    </font>
    <font>
      <sz val="16"/>
      <name val="Helv"/>
      <family val="0"/>
    </font>
    <font>
      <b/>
      <sz val="20"/>
      <name val="Times New Roman"/>
      <family val="1"/>
    </font>
    <font>
      <sz val="16"/>
      <name val="Arial"/>
      <family val="0"/>
    </font>
    <font>
      <sz val="14"/>
      <color indexed="10"/>
      <name val="Arial"/>
      <family val="0"/>
    </font>
    <font>
      <sz val="14"/>
      <color indexed="10"/>
      <name val="Helv"/>
      <family val="0"/>
    </font>
    <font>
      <sz val="28"/>
      <name val="Arial Cyr"/>
      <family val="0"/>
    </font>
    <font>
      <b/>
      <sz val="28"/>
      <name val="Arial Cyr"/>
      <family val="0"/>
    </font>
    <font>
      <sz val="28"/>
      <name val="Times New Roman"/>
      <family val="1"/>
    </font>
    <font>
      <b/>
      <sz val="28"/>
      <name val="Arial"/>
      <family val="0"/>
    </font>
    <font>
      <sz val="28"/>
      <name val="Arial"/>
      <family val="0"/>
    </font>
    <font>
      <b/>
      <sz val="28"/>
      <name val="Times New Roman"/>
      <family val="1"/>
    </font>
    <font>
      <sz val="28"/>
      <color indexed="8"/>
      <name val="Times New Roman"/>
      <family val="1"/>
    </font>
    <font>
      <sz val="28"/>
      <color indexed="10"/>
      <name val="Arial"/>
      <family val="0"/>
    </font>
    <font>
      <i/>
      <sz val="28"/>
      <name val="Times New Roman"/>
      <family val="1"/>
    </font>
    <font>
      <b/>
      <i/>
      <sz val="28"/>
      <name val="Times New Roman"/>
      <family val="1"/>
    </font>
    <font>
      <b/>
      <i/>
      <sz val="28"/>
      <name val="Arial"/>
      <family val="0"/>
    </font>
    <font>
      <i/>
      <sz val="28"/>
      <name val="Arial"/>
      <family val="0"/>
    </font>
    <font>
      <u val="single"/>
      <sz val="28"/>
      <color indexed="10"/>
      <name val="Arial"/>
      <family val="0"/>
    </font>
    <font>
      <sz val="28"/>
      <name val="Helv"/>
      <family val="0"/>
    </font>
    <font>
      <sz val="28"/>
      <color indexed="10"/>
      <name val="Arial Cyr"/>
      <family val="0"/>
    </font>
    <font>
      <sz val="28"/>
      <color indexed="10"/>
      <name val="Times New Roman"/>
      <family val="1"/>
    </font>
    <font>
      <sz val="20"/>
      <name val="Times New Roman"/>
      <family val="1"/>
    </font>
    <font>
      <sz val="20"/>
      <name val="Arial Cyr"/>
      <family val="0"/>
    </font>
    <font>
      <sz val="26"/>
      <name val="Arial Cyr"/>
      <family val="0"/>
    </font>
    <font>
      <sz val="11"/>
      <name val="Arial"/>
      <family val="0"/>
    </font>
    <font>
      <sz val="8"/>
      <name val="Arial Cyr"/>
      <family val="2"/>
    </font>
    <font>
      <b/>
      <sz val="10"/>
      <name val="Arial"/>
      <family val="2"/>
    </font>
    <font>
      <b/>
      <sz val="9"/>
      <name val="Arial Cyr"/>
      <family val="2"/>
    </font>
    <font>
      <b/>
      <sz val="9"/>
      <name val="Arial"/>
      <family val="2"/>
    </font>
    <font>
      <sz val="9"/>
      <name val="Arial"/>
      <family val="2"/>
    </font>
    <font>
      <sz val="13"/>
      <color indexed="10"/>
      <name val="Times New Roman"/>
      <family val="1"/>
    </font>
    <font>
      <b/>
      <sz val="22"/>
      <name val="Arial"/>
      <family val="2"/>
    </font>
    <font>
      <b/>
      <sz val="22"/>
      <name val="Times New Roman"/>
      <family val="1"/>
    </font>
    <font>
      <sz val="22"/>
      <name val="Arial"/>
      <family val="0"/>
    </font>
    <font>
      <b/>
      <sz val="24"/>
      <name val="Times New Roman"/>
      <family val="1"/>
    </font>
    <font>
      <sz val="22"/>
      <name val="Times New Roman"/>
      <family val="1"/>
    </font>
    <font>
      <sz val="24"/>
      <name val="Times New Roman"/>
      <family val="1"/>
    </font>
    <font>
      <sz val="22"/>
      <color indexed="10"/>
      <name val="Arial"/>
      <family val="0"/>
    </font>
    <font>
      <sz val="22"/>
      <name val="Helv"/>
      <family val="0"/>
    </font>
    <font>
      <sz val="20"/>
      <name val="Arial"/>
      <family val="0"/>
    </font>
    <font>
      <sz val="12"/>
      <name val="Helv"/>
      <family val="0"/>
    </font>
    <font>
      <sz val="18"/>
      <name val="Arial"/>
      <family val="0"/>
    </font>
    <font>
      <b/>
      <sz val="16"/>
      <name val="Arial Cyr"/>
      <family val="0"/>
    </font>
    <font>
      <sz val="12"/>
      <name val="Arial Cyr"/>
      <family val="0"/>
    </font>
    <font>
      <b/>
      <sz val="12"/>
      <name val="Helv"/>
      <family val="0"/>
    </font>
    <font>
      <u val="single"/>
      <sz val="16"/>
      <name val="Times New Roman"/>
      <family val="1"/>
    </font>
    <font>
      <u val="single"/>
      <sz val="28"/>
      <name val="Times New Roman"/>
      <family val="1"/>
    </font>
    <font>
      <u val="single"/>
      <sz val="12"/>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style="thin"/>
      <top style="thin"/>
      <bottom style="thin"/>
    </border>
    <border>
      <left style="medium"/>
      <right style="thin"/>
      <top style="medium"/>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style="medium"/>
    </border>
    <border>
      <left style="medium"/>
      <right style="medium"/>
      <top>
        <color indexed="63"/>
      </top>
      <bottom style="medium"/>
    </border>
    <border>
      <left style="medium"/>
      <right>
        <color indexed="63"/>
      </right>
      <top>
        <color indexed="63"/>
      </top>
      <bottom style="medium"/>
    </border>
    <border>
      <left style="medium"/>
      <right>
        <color indexed="63"/>
      </right>
      <top style="medium"/>
      <bottom style="medium"/>
    </border>
    <border>
      <left style="thin"/>
      <right>
        <color indexed="63"/>
      </right>
      <top>
        <color indexed="63"/>
      </top>
      <bottom style="thin"/>
    </border>
    <border>
      <left>
        <color indexed="63"/>
      </left>
      <right>
        <color indexed="63"/>
      </right>
      <top style="thin"/>
      <bottom>
        <color indexed="63"/>
      </bottom>
    </border>
    <border>
      <left>
        <color indexed="63"/>
      </left>
      <right style="medium"/>
      <top style="medium"/>
      <bottom style="mediu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style="medium"/>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color indexed="63"/>
      </right>
      <top>
        <color indexed="63"/>
      </top>
      <bottom style="thin"/>
    </border>
    <border>
      <left>
        <color indexed="63"/>
      </left>
      <right>
        <color indexed="63"/>
      </right>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thin"/>
      <top style="thin"/>
      <bottom>
        <color indexed="63"/>
      </bottom>
    </border>
    <border>
      <left style="medium"/>
      <right style="thin"/>
      <top style="medium"/>
      <bottom>
        <color indexed="63"/>
      </bottom>
    </border>
    <border>
      <left>
        <color indexed="63"/>
      </left>
      <right>
        <color indexed="63"/>
      </right>
      <top style="medium"/>
      <bottom>
        <color indexed="63"/>
      </bottom>
    </border>
    <border>
      <left style="medium"/>
      <right style="thin"/>
      <top>
        <color indexed="63"/>
      </top>
      <bottom style="thin"/>
    </border>
    <border>
      <left style="medium"/>
      <right style="thin"/>
      <top style="thin"/>
      <bottom>
        <color indexed="63"/>
      </botto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medium"/>
      <top style="medium"/>
      <bottom>
        <color indexed="63"/>
      </bottom>
    </border>
    <border>
      <left style="thin"/>
      <right style="medium"/>
      <top>
        <color indexed="63"/>
      </top>
      <bottom style="medium"/>
    </border>
    <border>
      <left>
        <color indexed="63"/>
      </left>
      <right>
        <color indexed="63"/>
      </right>
      <top>
        <color indexed="63"/>
      </top>
      <bottom style="medium"/>
    </border>
    <border>
      <left style="medium"/>
      <right style="medium"/>
      <top>
        <color indexed="63"/>
      </top>
      <bottom style="thin"/>
    </border>
    <border>
      <left>
        <color indexed="63"/>
      </left>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4">
    <xf numFmtId="0" fontId="2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0" fillId="0" borderId="0">
      <alignment/>
      <protection/>
    </xf>
    <xf numFmtId="0" fontId="3"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cellStyleXfs>
  <cellXfs count="710">
    <xf numFmtId="0" fontId="0" fillId="0" borderId="0" xfId="0" applyAlignment="1">
      <alignment/>
    </xf>
    <xf numFmtId="189" fontId="4" fillId="0" borderId="10" xfId="0" applyNumberFormat="1" applyFont="1" applyFill="1" applyBorder="1" applyAlignment="1">
      <alignment vertical="top" wrapText="1"/>
    </xf>
    <xf numFmtId="189" fontId="4" fillId="0" borderId="10" xfId="0" applyNumberFormat="1" applyFont="1" applyFill="1" applyBorder="1" applyAlignment="1">
      <alignment horizontal="left" vertical="top" wrapText="1"/>
    </xf>
    <xf numFmtId="189" fontId="6" fillId="0" borderId="10" xfId="0" applyNumberFormat="1" applyFont="1" applyFill="1" applyBorder="1" applyAlignment="1">
      <alignment vertical="top" wrapText="1"/>
    </xf>
    <xf numFmtId="189" fontId="5" fillId="20" borderId="10" xfId="0" applyNumberFormat="1" applyFont="1" applyFill="1" applyBorder="1" applyAlignment="1">
      <alignment vertical="top" wrapText="1"/>
    </xf>
    <xf numFmtId="189" fontId="5" fillId="20" borderId="10" xfId="0" applyNumberFormat="1" applyFont="1" applyFill="1" applyBorder="1" applyAlignment="1">
      <alignment vertical="center" wrapText="1"/>
    </xf>
    <xf numFmtId="189" fontId="5" fillId="20" borderId="10" xfId="0" applyNumberFormat="1" applyFont="1" applyFill="1" applyBorder="1" applyAlignment="1">
      <alignment horizontal="left"/>
    </xf>
    <xf numFmtId="189" fontId="4" fillId="0" borderId="10" xfId="0" applyNumberFormat="1" applyFont="1" applyFill="1" applyBorder="1" applyAlignment="1">
      <alignment/>
    </xf>
    <xf numFmtId="189" fontId="5" fillId="0" borderId="10" xfId="0" applyNumberFormat="1" applyFont="1" applyFill="1" applyBorder="1" applyAlignment="1">
      <alignment vertical="top" wrapText="1"/>
    </xf>
    <xf numFmtId="189" fontId="5" fillId="20" borderId="10" xfId="0" applyNumberFormat="1" applyFont="1" applyFill="1" applyBorder="1" applyAlignment="1">
      <alignment/>
    </xf>
    <xf numFmtId="0" fontId="26" fillId="0" borderId="0" xfId="0" applyAlignment="1">
      <alignment/>
    </xf>
    <xf numFmtId="0" fontId="4" fillId="0" borderId="0" xfId="0" applyFont="1" applyAlignment="1">
      <alignment/>
    </xf>
    <xf numFmtId="0" fontId="8" fillId="0" borderId="0" xfId="0" applyFont="1" applyAlignment="1">
      <alignment/>
    </xf>
    <xf numFmtId="0" fontId="27" fillId="0" borderId="0" xfId="0" applyFont="1" applyAlignment="1">
      <alignment horizontal="left"/>
    </xf>
    <xf numFmtId="189" fontId="28" fillId="0" borderId="11" xfId="0" applyNumberFormat="1" applyFont="1" applyFill="1" applyBorder="1" applyAlignment="1">
      <alignment horizontal="left" vertical="top" wrapText="1"/>
    </xf>
    <xf numFmtId="0" fontId="26" fillId="0" borderId="0" xfId="0" applyAlignment="1">
      <alignment vertical="center"/>
    </xf>
    <xf numFmtId="0" fontId="26" fillId="0" borderId="0" xfId="0" applyAlignment="1">
      <alignment horizontal="right"/>
    </xf>
    <xf numFmtId="0" fontId="29"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20" borderId="10" xfId="0" applyFont="1" applyFill="1" applyBorder="1" applyAlignment="1" quotePrefix="1">
      <alignment vertical="center"/>
    </xf>
    <xf numFmtId="2" fontId="5" fillId="20" borderId="10" xfId="0" applyNumberFormat="1" applyFont="1" applyFill="1" applyBorder="1" applyAlignment="1">
      <alignment vertical="center"/>
    </xf>
    <xf numFmtId="0" fontId="4" fillId="0" borderId="10" xfId="0" applyFont="1" applyBorder="1" applyAlignment="1" quotePrefix="1">
      <alignment vertical="center"/>
    </xf>
    <xf numFmtId="2" fontId="4" fillId="0" borderId="10" xfId="0" applyNumberFormat="1" applyFont="1" applyBorder="1" applyAlignment="1">
      <alignment vertical="center"/>
    </xf>
    <xf numFmtId="2" fontId="4" fillId="0" borderId="10" xfId="0" applyNumberFormat="1" applyFont="1" applyFill="1" applyBorder="1" applyAlignment="1">
      <alignment vertical="center"/>
    </xf>
    <xf numFmtId="0" fontId="4" fillId="0" borderId="10" xfId="0" applyFont="1" applyBorder="1" applyAlignment="1">
      <alignment vertical="center" wrapText="1"/>
    </xf>
    <xf numFmtId="189" fontId="4" fillId="0" borderId="10" xfId="0" applyNumberFormat="1" applyFont="1" applyFill="1" applyBorder="1" applyAlignment="1">
      <alignment vertical="center" wrapText="1"/>
    </xf>
    <xf numFmtId="189" fontId="4" fillId="0" borderId="10" xfId="0" applyNumberFormat="1" applyFont="1" applyFill="1" applyBorder="1" applyAlignment="1">
      <alignment horizontal="left" vertical="center" wrapText="1"/>
    </xf>
    <xf numFmtId="189" fontId="4" fillId="0" borderId="10" xfId="0" applyNumberFormat="1" applyFont="1" applyBorder="1" applyAlignment="1">
      <alignment horizontal="left" vertical="center" wrapText="1"/>
    </xf>
    <xf numFmtId="189" fontId="4" fillId="0" borderId="10" xfId="0" applyNumberFormat="1" applyFont="1" applyBorder="1" applyAlignment="1">
      <alignment vertical="center" wrapText="1"/>
    </xf>
    <xf numFmtId="0" fontId="5" fillId="20" borderId="10" xfId="0" applyFont="1" applyFill="1" applyBorder="1" applyAlignment="1">
      <alignment vertical="center" wrapText="1"/>
    </xf>
    <xf numFmtId="189" fontId="6" fillId="0" borderId="10" xfId="0" applyNumberFormat="1" applyFont="1" applyFill="1" applyBorder="1" applyAlignment="1">
      <alignment wrapText="1"/>
    </xf>
    <xf numFmtId="0" fontId="5" fillId="20" borderId="10" xfId="0" applyFont="1" applyFill="1" applyBorder="1" applyAlignment="1">
      <alignment vertical="center"/>
    </xf>
    <xf numFmtId="0" fontId="5" fillId="0" borderId="10" xfId="0" applyFont="1" applyFill="1" applyBorder="1" applyAlignment="1">
      <alignment vertical="center"/>
    </xf>
    <xf numFmtId="2" fontId="5" fillId="0" borderId="10" xfId="0" applyNumberFormat="1" applyFont="1" applyFill="1" applyBorder="1" applyAlignment="1">
      <alignment vertical="center"/>
    </xf>
    <xf numFmtId="0" fontId="26" fillId="0" borderId="0" xfId="0" applyFill="1" applyAlignment="1">
      <alignment/>
    </xf>
    <xf numFmtId="0" fontId="27" fillId="0" borderId="0" xfId="0" applyFont="1" applyAlignment="1">
      <alignment horizontal="left" vertical="center"/>
    </xf>
    <xf numFmtId="2" fontId="26" fillId="0" borderId="0" xfId="0" applyNumberFormat="1" applyAlignment="1">
      <alignment/>
    </xf>
    <xf numFmtId="14" fontId="26" fillId="0" borderId="0" xfId="0" applyNumberFormat="1" applyAlignment="1">
      <alignment vertical="center"/>
    </xf>
    <xf numFmtId="2" fontId="4" fillId="0" borderId="12" xfId="0" applyNumberFormat="1" applyFont="1" applyFill="1" applyBorder="1" applyAlignment="1">
      <alignment vertical="center"/>
    </xf>
    <xf numFmtId="0" fontId="5" fillId="0" borderId="0" xfId="0" applyFont="1" applyFill="1" applyBorder="1" applyAlignment="1">
      <alignment vertical="center"/>
    </xf>
    <xf numFmtId="189" fontId="5" fillId="0" borderId="0" xfId="0" applyNumberFormat="1" applyFont="1" applyFill="1" applyBorder="1" applyAlignment="1">
      <alignment/>
    </xf>
    <xf numFmtId="2" fontId="5" fillId="0" borderId="0" xfId="0" applyNumberFormat="1" applyFont="1" applyFill="1" applyBorder="1" applyAlignment="1">
      <alignment vertical="center"/>
    </xf>
    <xf numFmtId="0" fontId="4" fillId="0" borderId="10" xfId="0" applyFont="1" applyBorder="1" applyAlignment="1" quotePrefix="1">
      <alignment horizontal="left" vertical="center"/>
    </xf>
    <xf numFmtId="2" fontId="4" fillId="0" borderId="10" xfId="0" applyNumberFormat="1" applyFont="1" applyBorder="1" applyAlignment="1" quotePrefix="1">
      <alignment vertical="center"/>
    </xf>
    <xf numFmtId="0" fontId="31" fillId="0" borderId="10" xfId="0" applyFont="1" applyBorder="1" applyAlignment="1">
      <alignment horizontal="center" vertical="center" wrapText="1"/>
    </xf>
    <xf numFmtId="0" fontId="32" fillId="0" borderId="13" xfId="0" applyFont="1" applyFill="1" applyBorder="1" applyAlignment="1">
      <alignment horizontal="left" vertical="center" wrapText="1"/>
    </xf>
    <xf numFmtId="0" fontId="31" fillId="0" borderId="0" xfId="0" applyFont="1" applyAlignment="1">
      <alignment/>
    </xf>
    <xf numFmtId="0" fontId="31" fillId="0" borderId="0" xfId="0" applyFont="1" applyFill="1" applyBorder="1" applyAlignment="1">
      <alignment horizontal="left"/>
    </xf>
    <xf numFmtId="0" fontId="31" fillId="0" borderId="0" xfId="0" applyFont="1" applyFill="1" applyAlignment="1">
      <alignment horizontal="left"/>
    </xf>
    <xf numFmtId="0" fontId="32" fillId="0" borderId="0" xfId="0" applyFont="1" applyAlignment="1">
      <alignment/>
    </xf>
    <xf numFmtId="0" fontId="31" fillId="0" borderId="0" xfId="0" applyFont="1" applyAlignment="1">
      <alignment/>
    </xf>
    <xf numFmtId="0" fontId="31" fillId="0" borderId="0" xfId="0" applyFont="1" applyAlignment="1">
      <alignment horizontal="right"/>
    </xf>
    <xf numFmtId="0" fontId="32" fillId="0" borderId="13" xfId="0" applyFont="1" applyBorder="1" applyAlignment="1">
      <alignment horizontal="left"/>
    </xf>
    <xf numFmtId="0" fontId="31" fillId="24" borderId="10" xfId="0" applyFont="1" applyFill="1" applyBorder="1" applyAlignment="1">
      <alignment horizontal="center" vertical="center" wrapText="1"/>
    </xf>
    <xf numFmtId="0" fontId="32" fillId="20" borderId="14" xfId="0" applyNumberFormat="1" applyFont="1" applyFill="1" applyBorder="1" applyAlignment="1">
      <alignment horizontal="right" vertical="justify"/>
    </xf>
    <xf numFmtId="189" fontId="32" fillId="20" borderId="10" xfId="0" applyNumberFormat="1" applyFont="1" applyFill="1" applyBorder="1" applyAlignment="1">
      <alignment horizontal="left" vertical="top" wrapText="1"/>
    </xf>
    <xf numFmtId="2" fontId="32" fillId="20" borderId="10" xfId="0" applyNumberFormat="1" applyFont="1" applyFill="1" applyBorder="1" applyAlignment="1">
      <alignment vertical="center"/>
    </xf>
    <xf numFmtId="0" fontId="31" fillId="0" borderId="10" xfId="0" applyFont="1" applyBorder="1" applyAlignment="1" quotePrefix="1">
      <alignment vertical="center"/>
    </xf>
    <xf numFmtId="189" fontId="31" fillId="0" borderId="10" xfId="0" applyNumberFormat="1" applyFont="1" applyFill="1" applyBorder="1" applyAlignment="1">
      <alignment horizontal="left" vertical="top" wrapText="1"/>
    </xf>
    <xf numFmtId="2" fontId="31" fillId="0" borderId="10" xfId="0" applyNumberFormat="1" applyFont="1" applyBorder="1" applyAlignment="1">
      <alignment vertical="center"/>
    </xf>
    <xf numFmtId="2" fontId="31" fillId="24" borderId="10" xfId="0" applyNumberFormat="1" applyFont="1" applyFill="1" applyBorder="1" applyAlignment="1">
      <alignment vertical="center"/>
    </xf>
    <xf numFmtId="189" fontId="31" fillId="0" borderId="10" xfId="0" applyNumberFormat="1" applyFont="1" applyBorder="1" applyAlignment="1">
      <alignment horizontal="left" vertical="top" wrapText="1"/>
    </xf>
    <xf numFmtId="0" fontId="32" fillId="20" borderId="15" xfId="0" applyNumberFormat="1" applyFont="1" applyFill="1" applyBorder="1" applyAlignment="1">
      <alignment horizontal="right" vertical="justify"/>
    </xf>
    <xf numFmtId="189" fontId="32" fillId="20" borderId="16" xfId="0" applyNumberFormat="1" applyFont="1" applyFill="1" applyBorder="1" applyAlignment="1">
      <alignment horizontal="left" vertical="top" wrapText="1"/>
    </xf>
    <xf numFmtId="0" fontId="32" fillId="0" borderId="10" xfId="0" applyFont="1" applyBorder="1" applyAlignment="1" quotePrefix="1">
      <alignment vertical="center"/>
    </xf>
    <xf numFmtId="2" fontId="32" fillId="0" borderId="10" xfId="0" applyNumberFormat="1" applyFont="1" applyBorder="1" applyAlignment="1">
      <alignment vertical="center"/>
    </xf>
    <xf numFmtId="2" fontId="32" fillId="24" borderId="10" xfId="0" applyNumberFormat="1" applyFont="1" applyFill="1" applyBorder="1" applyAlignment="1">
      <alignment vertical="center"/>
    </xf>
    <xf numFmtId="189" fontId="33" fillId="0" borderId="10" xfId="0" applyNumberFormat="1" applyFont="1" applyFill="1" applyBorder="1" applyAlignment="1">
      <alignment horizontal="center" vertical="center" wrapText="1"/>
    </xf>
    <xf numFmtId="0" fontId="31" fillId="0" borderId="17" xfId="0" applyFont="1" applyBorder="1" applyAlignment="1" quotePrefix="1">
      <alignment vertical="center"/>
    </xf>
    <xf numFmtId="189" fontId="31" fillId="0" borderId="11" xfId="0" applyNumberFormat="1" applyFont="1" applyFill="1" applyBorder="1" applyAlignment="1">
      <alignment horizontal="left" vertical="top" wrapText="1"/>
    </xf>
    <xf numFmtId="0" fontId="31" fillId="0" borderId="10" xfId="0" applyFont="1" applyFill="1" applyBorder="1" applyAlignment="1">
      <alignment vertical="center" wrapText="1"/>
    </xf>
    <xf numFmtId="189" fontId="31" fillId="0" borderId="10" xfId="0" applyNumberFormat="1" applyFont="1" applyFill="1" applyBorder="1" applyAlignment="1">
      <alignment vertical="top" wrapText="1"/>
    </xf>
    <xf numFmtId="0" fontId="31" fillId="0" borderId="10" xfId="0" applyFont="1" applyBorder="1" applyAlignment="1" quotePrefix="1">
      <alignment horizontal="left" vertical="center"/>
    </xf>
    <xf numFmtId="189" fontId="33" fillId="0" borderId="10" xfId="0" applyNumberFormat="1" applyFont="1" applyFill="1" applyBorder="1" applyAlignment="1">
      <alignment wrapText="1"/>
    </xf>
    <xf numFmtId="189" fontId="33" fillId="0" borderId="10" xfId="0" applyNumberFormat="1" applyFont="1" applyFill="1" applyBorder="1" applyAlignment="1">
      <alignment horizontal="left" vertical="top" wrapText="1"/>
    </xf>
    <xf numFmtId="2" fontId="31" fillId="0" borderId="10" xfId="0" applyNumberFormat="1" applyFont="1" applyFill="1" applyBorder="1" applyAlignment="1">
      <alignment horizontal="right" vertical="top"/>
    </xf>
    <xf numFmtId="189" fontId="31" fillId="0" borderId="10" xfId="0" applyNumberFormat="1" applyFont="1" applyFill="1" applyBorder="1" applyAlignment="1">
      <alignment horizontal="left" vertical="top"/>
    </xf>
    <xf numFmtId="0" fontId="32" fillId="20" borderId="14" xfId="0" applyNumberFormat="1" applyFont="1" applyFill="1" applyBorder="1" applyAlignment="1">
      <alignment horizontal="right" vertical="top"/>
    </xf>
    <xf numFmtId="0" fontId="31" fillId="0" borderId="10" xfId="0" applyFont="1" applyBorder="1" applyAlignment="1">
      <alignment vertical="center" wrapText="1"/>
    </xf>
    <xf numFmtId="2" fontId="31" fillId="0" borderId="0" xfId="0" applyNumberFormat="1" applyFont="1" applyAlignment="1">
      <alignment/>
    </xf>
    <xf numFmtId="189" fontId="31" fillId="0" borderId="11" xfId="0" applyNumberFormat="1" applyFont="1" applyBorder="1" applyAlignment="1">
      <alignment horizontal="left" vertical="top" wrapText="1"/>
    </xf>
    <xf numFmtId="0" fontId="31" fillId="0" borderId="18" xfId="0" applyFont="1" applyBorder="1" applyAlignment="1" quotePrefix="1">
      <alignment vertical="center"/>
    </xf>
    <xf numFmtId="189" fontId="31" fillId="0" borderId="10" xfId="0" applyNumberFormat="1" applyFont="1" applyFill="1" applyBorder="1" applyAlignment="1">
      <alignment vertical="justify" wrapText="1"/>
    </xf>
    <xf numFmtId="2" fontId="31" fillId="0" borderId="17" xfId="0" applyNumberFormat="1" applyFont="1" applyBorder="1" applyAlignment="1">
      <alignment vertical="center"/>
    </xf>
    <xf numFmtId="189" fontId="31" fillId="0" borderId="19" xfId="0" applyNumberFormat="1" applyFont="1" applyFill="1" applyBorder="1" applyAlignment="1">
      <alignment horizontal="left" vertical="top" wrapText="1"/>
    </xf>
    <xf numFmtId="189" fontId="31" fillId="0" borderId="10" xfId="0" applyNumberFormat="1" applyFont="1" applyFill="1" applyBorder="1" applyAlignment="1">
      <alignment horizontal="left" wrapText="1"/>
    </xf>
    <xf numFmtId="189" fontId="33" fillId="0" borderId="10" xfId="0" applyNumberFormat="1" applyFont="1" applyFill="1" applyBorder="1" applyAlignment="1">
      <alignment vertical="center" wrapText="1"/>
    </xf>
    <xf numFmtId="189" fontId="31" fillId="0" borderId="10" xfId="0" applyNumberFormat="1" applyFont="1" applyFill="1" applyBorder="1" applyAlignment="1">
      <alignment vertical="center" wrapText="1"/>
    </xf>
    <xf numFmtId="189" fontId="32" fillId="0" borderId="10" xfId="0" applyNumberFormat="1" applyFont="1" applyFill="1" applyBorder="1" applyAlignment="1">
      <alignment horizontal="left" vertical="top"/>
    </xf>
    <xf numFmtId="189" fontId="31" fillId="0" borderId="10" xfId="0" applyNumberFormat="1" applyFont="1" applyFill="1" applyBorder="1" applyAlignment="1">
      <alignment horizontal="right" vertical="top"/>
    </xf>
    <xf numFmtId="189" fontId="32" fillId="20" borderId="20" xfId="0" applyNumberFormat="1" applyFont="1" applyFill="1" applyBorder="1" applyAlignment="1">
      <alignment horizontal="left" vertical="top"/>
    </xf>
    <xf numFmtId="0" fontId="32" fillId="20" borderId="10" xfId="0" applyFont="1" applyFill="1" applyBorder="1" applyAlignment="1">
      <alignment/>
    </xf>
    <xf numFmtId="2" fontId="32" fillId="20" borderId="10" xfId="0" applyNumberFormat="1" applyFont="1" applyFill="1" applyBorder="1" applyAlignment="1">
      <alignment/>
    </xf>
    <xf numFmtId="0" fontId="32" fillId="0" borderId="0" xfId="0" applyFont="1" applyAlignment="1">
      <alignment horizontal="left"/>
    </xf>
    <xf numFmtId="189" fontId="32" fillId="0" borderId="0" xfId="0" applyNumberFormat="1" applyFont="1" applyFill="1" applyBorder="1" applyAlignment="1">
      <alignment/>
    </xf>
    <xf numFmtId="2" fontId="32" fillId="0" borderId="0" xfId="0" applyNumberFormat="1" applyFont="1" applyFill="1" applyBorder="1" applyAlignment="1">
      <alignment vertical="center"/>
    </xf>
    <xf numFmtId="0" fontId="31" fillId="0" borderId="0" xfId="0" applyFont="1" applyBorder="1" applyAlignment="1">
      <alignment/>
    </xf>
    <xf numFmtId="189" fontId="4" fillId="0" borderId="10" xfId="0" applyNumberFormat="1" applyFont="1" applyBorder="1" applyAlignment="1">
      <alignment horizontal="left" vertical="top" wrapText="1"/>
    </xf>
    <xf numFmtId="192" fontId="34" fillId="0" borderId="0" xfId="0" applyNumberFormat="1" applyFont="1" applyAlignment="1">
      <alignment horizontal="left"/>
    </xf>
    <xf numFmtId="0" fontId="31" fillId="0" borderId="17" xfId="0" applyFont="1" applyBorder="1" applyAlignment="1" quotePrefix="1">
      <alignment horizontal="left" vertical="center"/>
    </xf>
    <xf numFmtId="0" fontId="4" fillId="0" borderId="17" xfId="0" applyFont="1" applyBorder="1" applyAlignment="1" quotePrefix="1">
      <alignment horizontal="left" vertical="center"/>
    </xf>
    <xf numFmtId="0" fontId="31" fillId="0" borderId="21" xfId="0" applyFont="1" applyFill="1" applyBorder="1" applyAlignment="1">
      <alignment horizontal="center" vertical="center"/>
    </xf>
    <xf numFmtId="0" fontId="31" fillId="0" borderId="13" xfId="0" applyNumberFormat="1" applyFont="1" applyFill="1" applyBorder="1" applyAlignment="1">
      <alignment horizontal="center" vertical="center"/>
    </xf>
    <xf numFmtId="0" fontId="8" fillId="0" borderId="10" xfId="0" applyFont="1" applyBorder="1" applyAlignment="1">
      <alignment horizontal="left" vertical="center" wrapText="1"/>
    </xf>
    <xf numFmtId="0" fontId="4" fillId="0" borderId="10" xfId="0" applyFont="1" applyBorder="1" applyAlignment="1">
      <alignment horizontal="left" vertical="center" wrapText="1"/>
    </xf>
    <xf numFmtId="0" fontId="31" fillId="0" borderId="10" xfId="0" applyFont="1" applyFill="1" applyBorder="1" applyAlignment="1">
      <alignment horizontal="left" vertical="center" wrapText="1"/>
    </xf>
    <xf numFmtId="0" fontId="39" fillId="0" borderId="0" xfId="0" applyFont="1" applyAlignment="1">
      <alignment/>
    </xf>
    <xf numFmtId="0" fontId="39" fillId="0" borderId="0" xfId="0" applyFont="1" applyAlignment="1">
      <alignment horizontal="right"/>
    </xf>
    <xf numFmtId="189" fontId="39" fillId="0" borderId="0" xfId="0" applyNumberFormat="1" applyFont="1" applyAlignment="1">
      <alignment/>
    </xf>
    <xf numFmtId="0" fontId="35" fillId="0" borderId="0" xfId="0" applyFont="1" applyFill="1" applyAlignment="1">
      <alignment/>
    </xf>
    <xf numFmtId="0" fontId="36" fillId="0" borderId="0" xfId="0" applyFont="1" applyAlignment="1">
      <alignment horizontal="right"/>
    </xf>
    <xf numFmtId="189" fontId="36" fillId="0" borderId="0" xfId="0" applyNumberFormat="1" applyFont="1" applyFill="1" applyAlignment="1">
      <alignment horizontal="right"/>
    </xf>
    <xf numFmtId="0" fontId="35" fillId="0" borderId="0" xfId="0" applyFont="1" applyAlignment="1">
      <alignment/>
    </xf>
    <xf numFmtId="0" fontId="41" fillId="0" borderId="0" xfId="0" applyFont="1" applyAlignment="1">
      <alignment horizontal="center"/>
    </xf>
    <xf numFmtId="0" fontId="42" fillId="0" borderId="0" xfId="0" applyFont="1" applyAlignment="1">
      <alignment horizontal="center" vertical="top"/>
    </xf>
    <xf numFmtId="189" fontId="41" fillId="0" borderId="0" xfId="0" applyNumberFormat="1" applyFont="1" applyAlignment="1">
      <alignment horizontal="center"/>
    </xf>
    <xf numFmtId="189" fontId="35" fillId="0" borderId="0" xfId="0" applyNumberFormat="1" applyFont="1" applyBorder="1" applyAlignment="1">
      <alignment horizontal="right"/>
    </xf>
    <xf numFmtId="0" fontId="37" fillId="0" borderId="10" xfId="0" applyFont="1" applyBorder="1" applyAlignment="1">
      <alignment horizontal="center" wrapText="1"/>
    </xf>
    <xf numFmtId="0" fontId="43" fillId="0" borderId="10" xfId="0" applyFont="1" applyBorder="1" applyAlignment="1">
      <alignment horizontal="center" vertical="center" wrapText="1"/>
    </xf>
    <xf numFmtId="0" fontId="37" fillId="0" borderId="10" xfId="0" applyNumberFormat="1" applyFont="1" applyFill="1" applyBorder="1" applyAlignment="1">
      <alignment horizontal="center" vertical="center" wrapText="1"/>
    </xf>
    <xf numFmtId="0" fontId="41" fillId="0" borderId="21" xfId="0" applyNumberFormat="1" applyFont="1" applyFill="1" applyBorder="1" applyAlignment="1">
      <alignment horizontal="center" vertical="center"/>
    </xf>
    <xf numFmtId="0" fontId="36" fillId="0" borderId="22" xfId="0" applyFont="1" applyBorder="1" applyAlignment="1">
      <alignment horizontal="center"/>
    </xf>
    <xf numFmtId="0" fontId="41" fillId="0" borderId="10" xfId="0" applyNumberFormat="1" applyFont="1" applyFill="1" applyBorder="1" applyAlignment="1">
      <alignment horizontal="center" vertical="center"/>
    </xf>
    <xf numFmtId="0" fontId="36" fillId="0" borderId="10" xfId="0" applyFont="1" applyBorder="1" applyAlignment="1">
      <alignment horizontal="center"/>
    </xf>
    <xf numFmtId="0" fontId="40" fillId="20" borderId="13" xfId="0" applyNumberFormat="1" applyFont="1" applyFill="1" applyBorder="1" applyAlignment="1">
      <alignment horizontal="center" vertical="center"/>
    </xf>
    <xf numFmtId="0" fontId="40" fillId="20" borderId="23" xfId="0" applyFont="1" applyFill="1" applyBorder="1" applyAlignment="1">
      <alignment horizontal="center" vertical="center" wrapText="1"/>
    </xf>
    <xf numFmtId="0" fontId="43" fillId="20" borderId="10" xfId="0" applyFont="1" applyFill="1" applyBorder="1" applyAlignment="1">
      <alignment horizontal="center" vertical="center" wrapText="1"/>
    </xf>
    <xf numFmtId="2" fontId="40" fillId="20" borderId="10" xfId="0" applyNumberFormat="1" applyFont="1" applyFill="1" applyBorder="1" applyAlignment="1">
      <alignment horizontal="center" vertical="center"/>
    </xf>
    <xf numFmtId="0" fontId="41" fillId="0" borderId="0" xfId="0" applyFont="1" applyAlignment="1">
      <alignment/>
    </xf>
    <xf numFmtId="0" fontId="35" fillId="0" borderId="19" xfId="0" applyFont="1" applyFill="1" applyBorder="1" applyAlignment="1">
      <alignment horizontal="center" vertical="center"/>
    </xf>
    <xf numFmtId="0" fontId="35" fillId="0" borderId="18" xfId="0" applyFont="1" applyFill="1" applyBorder="1" applyAlignment="1">
      <alignment horizontal="center" vertical="center" wrapText="1"/>
    </xf>
    <xf numFmtId="0" fontId="35" fillId="0" borderId="10" xfId="0" applyFont="1" applyFill="1" applyBorder="1" applyAlignment="1">
      <alignment horizontal="left" vertical="center" wrapText="1"/>
    </xf>
    <xf numFmtId="2" fontId="35" fillId="0" borderId="10" xfId="0" applyNumberFormat="1" applyFont="1" applyFill="1" applyBorder="1" applyAlignment="1">
      <alignment horizontal="center" vertical="center"/>
    </xf>
    <xf numFmtId="0" fontId="44" fillId="0" borderId="0" xfId="0" applyFont="1" applyAlignment="1">
      <alignment/>
    </xf>
    <xf numFmtId="0" fontId="35" fillId="0" borderId="10" xfId="0" applyFont="1" applyFill="1" applyBorder="1" applyAlignment="1">
      <alignment horizontal="center" vertical="center" wrapText="1"/>
    </xf>
    <xf numFmtId="2" fontId="35" fillId="0" borderId="19" xfId="0" applyNumberFormat="1" applyFont="1" applyFill="1" applyBorder="1" applyAlignment="1">
      <alignment horizontal="center" vertical="center"/>
    </xf>
    <xf numFmtId="2" fontId="35" fillId="0" borderId="24" xfId="0" applyNumberFormat="1" applyFont="1" applyFill="1" applyBorder="1" applyAlignment="1">
      <alignment horizontal="center" vertical="center"/>
    </xf>
    <xf numFmtId="0" fontId="35" fillId="0" borderId="10" xfId="0" applyFont="1" applyFill="1" applyBorder="1" applyAlignment="1">
      <alignment horizontal="center" vertical="center"/>
    </xf>
    <xf numFmtId="2" fontId="35" fillId="0" borderId="18" xfId="0" applyNumberFormat="1" applyFont="1" applyFill="1" applyBorder="1" applyAlignment="1">
      <alignment horizontal="center" vertical="center"/>
    </xf>
    <xf numFmtId="2" fontId="38" fillId="0" borderId="10" xfId="0" applyNumberFormat="1" applyFont="1" applyFill="1" applyBorder="1" applyAlignment="1">
      <alignment horizontal="center" vertical="center"/>
    </xf>
    <xf numFmtId="2" fontId="38" fillId="0" borderId="18" xfId="0" applyNumberFormat="1" applyFont="1" applyFill="1" applyBorder="1" applyAlignment="1">
      <alignment horizontal="center" vertical="center"/>
    </xf>
    <xf numFmtId="0" fontId="35" fillId="0" borderId="10" xfId="0" applyFont="1" applyBorder="1" applyAlignment="1" quotePrefix="1">
      <alignment horizontal="center" vertical="center"/>
    </xf>
    <xf numFmtId="0" fontId="40" fillId="20" borderId="21" xfId="0" applyFont="1" applyFill="1" applyBorder="1" applyAlignment="1">
      <alignment horizontal="center" vertical="center"/>
    </xf>
    <xf numFmtId="0" fontId="40" fillId="20" borderId="21" xfId="0" applyFont="1" applyFill="1" applyBorder="1" applyAlignment="1">
      <alignment horizontal="center" vertical="center" wrapText="1"/>
    </xf>
    <xf numFmtId="0" fontId="35" fillId="20" borderId="21" xfId="0" applyFont="1" applyFill="1" applyBorder="1" applyAlignment="1">
      <alignment horizontal="center" vertical="center" wrapText="1"/>
    </xf>
    <xf numFmtId="2" fontId="40" fillId="20" borderId="19" xfId="0" applyNumberFormat="1" applyFont="1" applyFill="1" applyBorder="1" applyAlignment="1">
      <alignment horizontal="center" vertical="center"/>
    </xf>
    <xf numFmtId="0" fontId="35" fillId="0" borderId="19" xfId="0" applyFont="1" applyFill="1" applyBorder="1" applyAlignment="1">
      <alignment horizontal="left" vertical="center" wrapText="1"/>
    </xf>
    <xf numFmtId="2" fontId="45" fillId="0" borderId="10" xfId="0" applyNumberFormat="1" applyFont="1" applyFill="1" applyBorder="1" applyAlignment="1">
      <alignment horizontal="center" vertical="center"/>
    </xf>
    <xf numFmtId="2" fontId="38" fillId="0" borderId="19" xfId="0" applyNumberFormat="1" applyFont="1" applyFill="1" applyBorder="1" applyAlignment="1">
      <alignment horizontal="center" vertical="center"/>
    </xf>
    <xf numFmtId="0" fontId="35" fillId="20" borderId="19" xfId="0" applyFont="1" applyFill="1" applyBorder="1" applyAlignment="1">
      <alignment horizontal="left" vertical="center" wrapText="1"/>
    </xf>
    <xf numFmtId="189" fontId="35" fillId="0" borderId="10" xfId="0" applyNumberFormat="1" applyFont="1" applyFill="1" applyBorder="1" applyAlignment="1">
      <alignment horizontal="center" vertical="center" wrapText="1"/>
    </xf>
    <xf numFmtId="0" fontId="40" fillId="20" borderId="10" xfId="0" applyFont="1" applyFill="1" applyBorder="1" applyAlignment="1">
      <alignment horizontal="center" vertical="center"/>
    </xf>
    <xf numFmtId="0" fontId="40" fillId="20" borderId="10" xfId="0" applyFont="1" applyFill="1" applyBorder="1" applyAlignment="1">
      <alignment horizontal="center" vertical="center" wrapText="1"/>
    </xf>
    <xf numFmtId="0" fontId="35" fillId="20" borderId="10" xfId="0" applyFont="1" applyFill="1" applyBorder="1" applyAlignment="1">
      <alignment horizontal="left" vertical="center" wrapText="1"/>
    </xf>
    <xf numFmtId="49" fontId="35" fillId="0" borderId="10" xfId="0" applyNumberFormat="1" applyFont="1" applyFill="1" applyBorder="1" applyAlignment="1">
      <alignment horizontal="center" vertical="center"/>
    </xf>
    <xf numFmtId="0" fontId="35" fillId="0" borderId="10" xfId="0" applyFont="1" applyBorder="1" applyAlignment="1">
      <alignment horizontal="center" vertical="center" wrapText="1"/>
    </xf>
    <xf numFmtId="0" fontId="35" fillId="0" borderId="10" xfId="0" applyFont="1" applyBorder="1" applyAlignment="1">
      <alignment horizontal="center" vertical="center"/>
    </xf>
    <xf numFmtId="0" fontId="38" fillId="0" borderId="10" xfId="0" applyFont="1" applyBorder="1" applyAlignment="1">
      <alignment horizontal="left" vertical="center" wrapText="1"/>
    </xf>
    <xf numFmtId="49" fontId="40" fillId="20" borderId="10" xfId="0" applyNumberFormat="1" applyFont="1" applyFill="1" applyBorder="1" applyAlignment="1">
      <alignment horizontal="center" vertical="center"/>
    </xf>
    <xf numFmtId="2" fontId="43" fillId="20" borderId="10" xfId="0" applyNumberFormat="1" applyFont="1" applyFill="1" applyBorder="1" applyAlignment="1">
      <alignment horizontal="center" vertical="center"/>
    </xf>
    <xf numFmtId="0" fontId="35" fillId="0" borderId="10" xfId="0" applyFont="1" applyBorder="1" applyAlignment="1">
      <alignment horizontal="left" vertical="center"/>
    </xf>
    <xf numFmtId="0" fontId="35" fillId="0" borderId="10" xfId="0" applyFont="1" applyBorder="1" applyAlignment="1">
      <alignment horizontal="left" vertical="center" wrapText="1"/>
    </xf>
    <xf numFmtId="0" fontId="43" fillId="0" borderId="10" xfId="0" applyFont="1" applyFill="1" applyBorder="1" applyAlignment="1">
      <alignment horizontal="center" vertical="center"/>
    </xf>
    <xf numFmtId="0" fontId="35" fillId="0" borderId="17" xfId="0" applyFont="1" applyBorder="1" applyAlignment="1">
      <alignment horizontal="center" vertical="center"/>
    </xf>
    <xf numFmtId="189" fontId="35" fillId="0" borderId="10" xfId="0" applyNumberFormat="1" applyFont="1" applyFill="1" applyBorder="1" applyAlignment="1">
      <alignment vertical="center" wrapText="1"/>
    </xf>
    <xf numFmtId="189" fontId="35" fillId="20" borderId="10" xfId="0" applyNumberFormat="1" applyFont="1" applyFill="1" applyBorder="1" applyAlignment="1">
      <alignment vertical="center" wrapText="1"/>
    </xf>
    <xf numFmtId="0" fontId="40" fillId="20" borderId="10" xfId="0" applyFont="1" applyFill="1" applyBorder="1" applyAlignment="1">
      <alignment horizontal="left" vertical="center" wrapText="1"/>
    </xf>
    <xf numFmtId="189" fontId="35" fillId="0" borderId="10" xfId="0" applyNumberFormat="1" applyFont="1" applyFill="1" applyBorder="1" applyAlignment="1">
      <alignment vertical="top" wrapText="1"/>
    </xf>
    <xf numFmtId="49" fontId="43" fillId="20" borderId="10" xfId="0" applyNumberFormat="1" applyFont="1" applyFill="1" applyBorder="1" applyAlignment="1">
      <alignment horizontal="center" vertical="center"/>
    </xf>
    <xf numFmtId="189" fontId="40" fillId="20" borderId="10" xfId="0" applyNumberFormat="1" applyFont="1" applyFill="1" applyBorder="1" applyAlignment="1">
      <alignment horizontal="left" vertical="top" wrapText="1"/>
    </xf>
    <xf numFmtId="0" fontId="43" fillId="20" borderId="10" xfId="0" applyFont="1" applyFill="1" applyBorder="1" applyAlignment="1">
      <alignment horizontal="left" vertical="center" wrapText="1"/>
    </xf>
    <xf numFmtId="0" fontId="46" fillId="20" borderId="10" xfId="0" applyFont="1" applyFill="1" applyBorder="1" applyAlignment="1">
      <alignment horizontal="center" vertical="center"/>
    </xf>
    <xf numFmtId="0" fontId="44" fillId="20" borderId="10" xfId="0" applyFont="1" applyFill="1" applyBorder="1" applyAlignment="1">
      <alignment/>
    </xf>
    <xf numFmtId="2" fontId="47" fillId="20" borderId="10" xfId="0" applyNumberFormat="1" applyFont="1" applyFill="1" applyBorder="1" applyAlignment="1">
      <alignment horizontal="center" vertical="center"/>
    </xf>
    <xf numFmtId="2" fontId="39" fillId="0" borderId="0" xfId="0" applyNumberFormat="1" applyFont="1" applyAlignment="1">
      <alignment/>
    </xf>
    <xf numFmtId="0" fontId="48" fillId="0" borderId="0" xfId="0" applyFont="1" applyAlignment="1">
      <alignment/>
    </xf>
    <xf numFmtId="189" fontId="49" fillId="0" borderId="0" xfId="0" applyNumberFormat="1" applyFont="1" applyAlignment="1">
      <alignment/>
    </xf>
    <xf numFmtId="0" fontId="49" fillId="0" borderId="0" xfId="0" applyFont="1" applyAlignment="1">
      <alignment/>
    </xf>
    <xf numFmtId="0" fontId="44" fillId="0" borderId="0" xfId="0" applyFont="1" applyAlignment="1">
      <alignment/>
    </xf>
    <xf numFmtId="0" fontId="46" fillId="0" borderId="0" xfId="0" applyFont="1" applyAlignment="1">
      <alignment/>
    </xf>
    <xf numFmtId="189" fontId="50" fillId="0" borderId="0" xfId="0" applyNumberFormat="1" applyFont="1" applyBorder="1" applyAlignment="1">
      <alignment/>
    </xf>
    <xf numFmtId="189" fontId="44" fillId="0" borderId="0" xfId="0" applyNumberFormat="1" applyFont="1" applyAlignment="1">
      <alignment/>
    </xf>
    <xf numFmtId="0" fontId="49" fillId="0" borderId="0" xfId="0" applyFont="1" applyAlignment="1">
      <alignment/>
    </xf>
    <xf numFmtId="189" fontId="49" fillId="0" borderId="0" xfId="0" applyNumberFormat="1" applyFont="1" applyAlignment="1">
      <alignment/>
    </xf>
    <xf numFmtId="0" fontId="50" fillId="0" borderId="0" xfId="0" applyFont="1" applyAlignment="1">
      <alignment/>
    </xf>
    <xf numFmtId="189" fontId="50" fillId="0" borderId="0" xfId="0" applyNumberFormat="1" applyFont="1" applyBorder="1" applyAlignment="1">
      <alignment/>
    </xf>
    <xf numFmtId="189" fontId="43" fillId="0" borderId="0" xfId="0" applyNumberFormat="1" applyFont="1" applyFill="1" applyBorder="1" applyAlignment="1">
      <alignment/>
    </xf>
    <xf numFmtId="2" fontId="43" fillId="0" borderId="0" xfId="0" applyNumberFormat="1" applyFont="1" applyFill="1" applyBorder="1" applyAlignment="1">
      <alignment vertical="center"/>
    </xf>
    <xf numFmtId="189" fontId="39" fillId="0" borderId="0" xfId="0" applyNumberFormat="1" applyFont="1" applyBorder="1" applyAlignment="1">
      <alignment/>
    </xf>
    <xf numFmtId="0" fontId="51" fillId="0" borderId="0" xfId="0" applyFont="1" applyAlignment="1">
      <alignment horizontal="center" vertical="center"/>
    </xf>
    <xf numFmtId="0" fontId="51" fillId="0" borderId="0" xfId="0" applyFont="1" applyFill="1" applyAlignment="1">
      <alignment horizontal="center" vertical="center"/>
    </xf>
    <xf numFmtId="189" fontId="52" fillId="0" borderId="0" xfId="0" applyNumberFormat="1" applyFont="1" applyAlignment="1">
      <alignment horizontal="center" vertical="center"/>
    </xf>
    <xf numFmtId="0" fontId="53" fillId="0" borderId="0" xfId="0" applyFont="1" applyFill="1" applyBorder="1" applyAlignment="1">
      <alignment horizontal="left"/>
    </xf>
    <xf numFmtId="189" fontId="54" fillId="0" borderId="0" xfId="0" applyNumberFormat="1" applyFont="1" applyAlignment="1">
      <alignment/>
    </xf>
    <xf numFmtId="0" fontId="54" fillId="0" borderId="0" xfId="0" applyFont="1" applyAlignment="1">
      <alignment/>
    </xf>
    <xf numFmtId="0" fontId="55" fillId="0" borderId="0" xfId="0" applyFont="1" applyAlignment="1">
      <alignment/>
    </xf>
    <xf numFmtId="189" fontId="56" fillId="0" borderId="0" xfId="0" applyNumberFormat="1" applyFont="1" applyFill="1" applyAlignment="1">
      <alignment/>
    </xf>
    <xf numFmtId="0" fontId="53" fillId="0" borderId="0" xfId="0" applyFont="1" applyFill="1" applyAlignment="1">
      <alignment horizontal="left"/>
    </xf>
    <xf numFmtId="0" fontId="55" fillId="0" borderId="0" xfId="0" applyFont="1" applyAlignment="1">
      <alignment horizontal="left"/>
    </xf>
    <xf numFmtId="0" fontId="53" fillId="0" borderId="0" xfId="0" applyFont="1" applyAlignment="1">
      <alignment/>
    </xf>
    <xf numFmtId="0" fontId="56" fillId="0" borderId="0" xfId="0" applyFont="1" applyAlignment="1">
      <alignment/>
    </xf>
    <xf numFmtId="0" fontId="56" fillId="0" borderId="0" xfId="0" applyFont="1" applyFill="1" applyBorder="1" applyAlignment="1">
      <alignment/>
    </xf>
    <xf numFmtId="0" fontId="52" fillId="0" borderId="0" xfId="0" applyFont="1" applyAlignment="1">
      <alignment horizontal="center" vertical="center"/>
    </xf>
    <xf numFmtId="0" fontId="56" fillId="0" borderId="0" xfId="0" applyFont="1" applyAlignment="1">
      <alignment horizontal="center" vertical="center"/>
    </xf>
    <xf numFmtId="0" fontId="52" fillId="0" borderId="0" xfId="0" applyFont="1" applyFill="1" applyAlignment="1">
      <alignment horizontal="center" vertical="center"/>
    </xf>
    <xf numFmtId="189" fontId="52" fillId="0" borderId="0" xfId="0" applyNumberFormat="1" applyFont="1" applyAlignment="1">
      <alignment horizontal="center" vertical="center"/>
    </xf>
    <xf numFmtId="0" fontId="56" fillId="0" borderId="25" xfId="0" applyFont="1" applyBorder="1" applyAlignment="1">
      <alignment horizontal="center" vertical="center"/>
    </xf>
    <xf numFmtId="0" fontId="56" fillId="0" borderId="10" xfId="0" applyFont="1" applyFill="1" applyBorder="1" applyAlignment="1">
      <alignment horizontal="center" vertical="center" wrapText="1"/>
    </xf>
    <xf numFmtId="0" fontId="56" fillId="0" borderId="21" xfId="0" applyFont="1" applyFill="1" applyBorder="1" applyAlignment="1">
      <alignment horizontal="center" vertical="center" wrapText="1"/>
    </xf>
    <xf numFmtId="189" fontId="56" fillId="0" borderId="10" xfId="0" applyNumberFormat="1" applyFont="1" applyFill="1" applyBorder="1" applyAlignment="1">
      <alignment horizontal="center" vertical="center" wrapText="1"/>
    </xf>
    <xf numFmtId="0" fontId="56" fillId="0" borderId="13" xfId="0" applyFont="1" applyBorder="1" applyAlignment="1">
      <alignment horizontal="center" vertical="center"/>
    </xf>
    <xf numFmtId="0" fontId="56" fillId="0" borderId="13" xfId="0" applyFont="1" applyBorder="1" applyAlignment="1">
      <alignment horizontal="center" vertical="center" wrapText="1"/>
    </xf>
    <xf numFmtId="0" fontId="56" fillId="0" borderId="13" xfId="0" applyFont="1" applyFill="1" applyBorder="1" applyAlignment="1">
      <alignment horizontal="center" vertical="center" wrapText="1"/>
    </xf>
    <xf numFmtId="1" fontId="56" fillId="0" borderId="21" xfId="0" applyNumberFormat="1" applyFont="1" applyFill="1" applyBorder="1" applyAlignment="1">
      <alignment horizontal="center" vertical="center" wrapText="1"/>
    </xf>
    <xf numFmtId="1" fontId="56" fillId="0" borderId="22" xfId="0" applyNumberFormat="1" applyFont="1" applyFill="1" applyBorder="1" applyAlignment="1">
      <alignment horizontal="center" vertical="center" wrapText="1"/>
    </xf>
    <xf numFmtId="1" fontId="56" fillId="0" borderId="10" xfId="0" applyNumberFormat="1" applyFont="1" applyFill="1" applyBorder="1" applyAlignment="1">
      <alignment horizontal="center" vertical="center" wrapText="1"/>
    </xf>
    <xf numFmtId="1" fontId="56" fillId="0" borderId="26" xfId="0" applyNumberFormat="1" applyFont="1" applyFill="1" applyBorder="1" applyAlignment="1">
      <alignment horizontal="center" vertical="center" wrapText="1"/>
    </xf>
    <xf numFmtId="0" fontId="53" fillId="0" borderId="19" xfId="0" applyFont="1" applyBorder="1" applyAlignment="1">
      <alignment vertical="center" wrapText="1"/>
    </xf>
    <xf numFmtId="0" fontId="56" fillId="0" borderId="19" xfId="0" applyFont="1" applyBorder="1" applyAlignment="1">
      <alignment horizontal="center" vertical="center"/>
    </xf>
    <xf numFmtId="181" fontId="56" fillId="0" borderId="19" xfId="0" applyNumberFormat="1" applyFont="1" applyBorder="1" applyAlignment="1">
      <alignment horizontal="center" vertical="center" wrapText="1"/>
    </xf>
    <xf numFmtId="181" fontId="56" fillId="0" borderId="19" xfId="0" applyNumberFormat="1" applyFont="1" applyBorder="1" applyAlignment="1">
      <alignment vertical="center" wrapText="1"/>
    </xf>
    <xf numFmtId="2" fontId="53" fillId="0" borderId="19" xfId="0" applyNumberFormat="1" applyFont="1" applyBorder="1" applyAlignment="1">
      <alignment horizontal="center" vertical="center" wrapText="1"/>
    </xf>
    <xf numFmtId="181" fontId="56" fillId="0" borderId="19" xfId="0" applyNumberFormat="1" applyFont="1" applyFill="1" applyBorder="1" applyAlignment="1">
      <alignment horizontal="center" vertical="center" wrapText="1"/>
    </xf>
    <xf numFmtId="2" fontId="54" fillId="0" borderId="19" xfId="0" applyNumberFormat="1" applyFont="1" applyBorder="1" applyAlignment="1">
      <alignment/>
    </xf>
    <xf numFmtId="2" fontId="54" fillId="0" borderId="24" xfId="0" applyNumberFormat="1" applyFont="1" applyBorder="1" applyAlignment="1">
      <alignment/>
    </xf>
    <xf numFmtId="2" fontId="54" fillId="0" borderId="10" xfId="0" applyNumberFormat="1" applyFont="1" applyBorder="1" applyAlignment="1">
      <alignment/>
    </xf>
    <xf numFmtId="2" fontId="54" fillId="0" borderId="27" xfId="0" applyNumberFormat="1" applyFont="1" applyBorder="1" applyAlignment="1">
      <alignment/>
    </xf>
    <xf numFmtId="0" fontId="53" fillId="25" borderId="10" xfId="0" applyFont="1" applyFill="1" applyBorder="1" applyAlignment="1">
      <alignment vertical="center" wrapText="1"/>
    </xf>
    <xf numFmtId="0" fontId="56" fillId="0" borderId="10" xfId="0" applyFont="1" applyBorder="1" applyAlignment="1">
      <alignment horizontal="center" vertical="center"/>
    </xf>
    <xf numFmtId="2" fontId="53" fillId="0" borderId="10" xfId="0" applyNumberFormat="1" applyFont="1" applyBorder="1" applyAlignment="1">
      <alignment vertical="center" wrapText="1"/>
    </xf>
    <xf numFmtId="181" fontId="56" fillId="0" borderId="10" xfId="0" applyNumberFormat="1" applyFont="1" applyBorder="1" applyAlignment="1">
      <alignment horizontal="center" vertical="center" wrapText="1"/>
    </xf>
    <xf numFmtId="181" fontId="56" fillId="0" borderId="10" xfId="0" applyNumberFormat="1" applyFont="1" applyFill="1" applyBorder="1" applyAlignment="1">
      <alignment horizontal="center" vertical="center" wrapText="1"/>
    </xf>
    <xf numFmtId="2" fontId="54" fillId="0" borderId="18" xfId="0" applyNumberFormat="1" applyFont="1" applyBorder="1" applyAlignment="1">
      <alignment/>
    </xf>
    <xf numFmtId="2" fontId="54" fillId="0" borderId="17" xfId="0" applyNumberFormat="1" applyFont="1" applyBorder="1" applyAlignment="1">
      <alignment/>
    </xf>
    <xf numFmtId="0" fontId="53" fillId="0" borderId="10" xfId="0" applyFont="1" applyBorder="1" applyAlignment="1">
      <alignment vertical="center" wrapText="1"/>
    </xf>
    <xf numFmtId="0" fontId="57" fillId="0" borderId="10" xfId="0" applyFont="1" applyFill="1" applyBorder="1" applyAlignment="1">
      <alignment vertical="center" wrapText="1"/>
    </xf>
    <xf numFmtId="49" fontId="56" fillId="0" borderId="10" xfId="0" applyNumberFormat="1" applyFont="1" applyBorder="1" applyAlignment="1">
      <alignment horizontal="center" wrapText="1"/>
    </xf>
    <xf numFmtId="2" fontId="53" fillId="0" borderId="10" xfId="0" applyNumberFormat="1" applyFont="1" applyBorder="1" applyAlignment="1">
      <alignment horizontal="center"/>
    </xf>
    <xf numFmtId="181" fontId="56" fillId="0" borderId="10" xfId="0" applyNumberFormat="1" applyFont="1" applyBorder="1" applyAlignment="1">
      <alignment horizontal="center"/>
    </xf>
    <xf numFmtId="181" fontId="56" fillId="0" borderId="10" xfId="0" applyNumberFormat="1" applyFont="1" applyFill="1" applyBorder="1" applyAlignment="1">
      <alignment horizontal="center"/>
    </xf>
    <xf numFmtId="181" fontId="56" fillId="0" borderId="11" xfId="0" applyNumberFormat="1" applyFont="1" applyFill="1" applyBorder="1" applyAlignment="1">
      <alignment horizontal="center"/>
    </xf>
    <xf numFmtId="2" fontId="54" fillId="0" borderId="10" xfId="0" applyNumberFormat="1" applyFont="1" applyBorder="1" applyAlignment="1">
      <alignment horizontal="right"/>
    </xf>
    <xf numFmtId="2" fontId="54" fillId="0" borderId="11" xfId="0" applyNumberFormat="1" applyFont="1" applyBorder="1" applyAlignment="1">
      <alignment horizontal="right"/>
    </xf>
    <xf numFmtId="2" fontId="54" fillId="0" borderId="28" xfId="0" applyNumberFormat="1" applyFont="1" applyBorder="1" applyAlignment="1">
      <alignment horizontal="right"/>
    </xf>
    <xf numFmtId="181" fontId="56" fillId="0" borderId="12" xfId="0" applyNumberFormat="1" applyFont="1" applyFill="1" applyBorder="1" applyAlignment="1">
      <alignment horizontal="center"/>
    </xf>
    <xf numFmtId="2" fontId="54" fillId="0" borderId="12" xfId="0" applyNumberFormat="1" applyFont="1" applyBorder="1" applyAlignment="1">
      <alignment horizontal="right"/>
    </xf>
    <xf numFmtId="2" fontId="54" fillId="0" borderId="29" xfId="0" applyNumberFormat="1" applyFont="1" applyBorder="1" applyAlignment="1">
      <alignment horizontal="right"/>
    </xf>
    <xf numFmtId="0" fontId="53" fillId="0" borderId="10" xfId="0" applyNumberFormat="1" applyFont="1" applyBorder="1" applyAlignment="1">
      <alignment vertical="center" wrapText="1"/>
    </xf>
    <xf numFmtId="181" fontId="56" fillId="0" borderId="19" xfId="0" applyNumberFormat="1" applyFont="1" applyFill="1" applyBorder="1" applyAlignment="1">
      <alignment horizontal="center"/>
    </xf>
    <xf numFmtId="2" fontId="54" fillId="0" borderId="19" xfId="0" applyNumberFormat="1" applyFont="1" applyBorder="1" applyAlignment="1">
      <alignment horizontal="right"/>
    </xf>
    <xf numFmtId="2" fontId="54" fillId="0" borderId="10" xfId="0" applyNumberFormat="1" applyFont="1" applyBorder="1" applyAlignment="1">
      <alignment/>
    </xf>
    <xf numFmtId="0" fontId="53" fillId="0" borderId="10" xfId="0" applyFont="1" applyFill="1" applyBorder="1" applyAlignment="1">
      <alignment vertical="center" wrapText="1"/>
    </xf>
    <xf numFmtId="0" fontId="56" fillId="0" borderId="10" xfId="0" applyFont="1" applyBorder="1" applyAlignment="1">
      <alignment horizontal="center" wrapText="1"/>
    </xf>
    <xf numFmtId="181" fontId="56" fillId="0" borderId="10" xfId="0" applyNumberFormat="1" applyFont="1" applyBorder="1" applyAlignment="1">
      <alignment/>
    </xf>
    <xf numFmtId="181" fontId="53" fillId="0" borderId="10" xfId="0" applyNumberFormat="1" applyFont="1" applyBorder="1" applyAlignment="1">
      <alignment/>
    </xf>
    <xf numFmtId="181" fontId="53" fillId="0" borderId="10" xfId="0" applyNumberFormat="1" applyFont="1" applyBorder="1" applyAlignment="1">
      <alignment horizontal="center"/>
    </xf>
    <xf numFmtId="189" fontId="54" fillId="0" borderId="10" xfId="0" applyNumberFormat="1" applyFont="1" applyBorder="1" applyAlignment="1">
      <alignment/>
    </xf>
    <xf numFmtId="189" fontId="54" fillId="0" borderId="11" xfId="0" applyNumberFormat="1" applyFont="1" applyBorder="1" applyAlignment="1">
      <alignment horizontal="right"/>
    </xf>
    <xf numFmtId="189" fontId="54" fillId="0" borderId="12" xfId="0" applyNumberFormat="1" applyFont="1" applyBorder="1" applyAlignment="1">
      <alignment horizontal="right"/>
    </xf>
    <xf numFmtId="189" fontId="54" fillId="0" borderId="19" xfId="0" applyNumberFormat="1" applyFont="1" applyBorder="1" applyAlignment="1">
      <alignment horizontal="right"/>
    </xf>
    <xf numFmtId="189" fontId="56" fillId="0" borderId="10" xfId="0" applyNumberFormat="1" applyFont="1" applyBorder="1" applyAlignment="1">
      <alignment horizontal="center"/>
    </xf>
    <xf numFmtId="189" fontId="56" fillId="0" borderId="10" xfId="0" applyNumberFormat="1" applyFont="1" applyFill="1" applyBorder="1" applyAlignment="1">
      <alignment horizontal="center"/>
    </xf>
    <xf numFmtId="189" fontId="53" fillId="0" borderId="10" xfId="0" applyNumberFormat="1" applyFont="1" applyFill="1" applyBorder="1" applyAlignment="1">
      <alignment horizontal="left" vertical="top" wrapText="1"/>
    </xf>
    <xf numFmtId="189" fontId="53" fillId="0" borderId="10" xfId="0" applyNumberFormat="1" applyFont="1" applyBorder="1" applyAlignment="1">
      <alignment horizontal="center"/>
    </xf>
    <xf numFmtId="2" fontId="54" fillId="0" borderId="10" xfId="0" applyNumberFormat="1" applyFont="1" applyFill="1" applyBorder="1" applyAlignment="1">
      <alignment/>
    </xf>
    <xf numFmtId="0" fontId="53" fillId="20" borderId="10" xfId="0" applyFont="1" applyFill="1" applyBorder="1" applyAlignment="1">
      <alignment vertical="center" wrapText="1"/>
    </xf>
    <xf numFmtId="0" fontId="56" fillId="20" borderId="10" xfId="0" applyFont="1" applyFill="1" applyBorder="1" applyAlignment="1">
      <alignment horizontal="center"/>
    </xf>
    <xf numFmtId="2" fontId="56" fillId="20" borderId="10" xfId="0" applyNumberFormat="1" applyFont="1" applyFill="1" applyBorder="1" applyAlignment="1">
      <alignment horizontal="center" wrapText="1"/>
    </xf>
    <xf numFmtId="2" fontId="54" fillId="20" borderId="10" xfId="0" applyNumberFormat="1" applyFont="1" applyFill="1" applyBorder="1" applyAlignment="1">
      <alignment/>
    </xf>
    <xf numFmtId="0" fontId="58" fillId="0" borderId="0" xfId="0" applyFont="1" applyAlignment="1">
      <alignment/>
    </xf>
    <xf numFmtId="181" fontId="58" fillId="0" borderId="0" xfId="0" applyNumberFormat="1" applyFont="1" applyAlignment="1">
      <alignment/>
    </xf>
    <xf numFmtId="0" fontId="56" fillId="0" borderId="10" xfId="0" applyFont="1" applyFill="1" applyBorder="1" applyAlignment="1">
      <alignment horizontal="center"/>
    </xf>
    <xf numFmtId="189" fontId="56" fillId="0" borderId="10" xfId="0" applyNumberFormat="1" applyFont="1" applyFill="1" applyBorder="1" applyAlignment="1">
      <alignment horizontal="center" wrapText="1"/>
    </xf>
    <xf numFmtId="181" fontId="56" fillId="0" borderId="10" xfId="0" applyNumberFormat="1" applyFont="1" applyFill="1" applyBorder="1" applyAlignment="1">
      <alignment horizontal="center" wrapText="1"/>
    </xf>
    <xf numFmtId="181" fontId="53" fillId="0" borderId="19" xfId="0" applyNumberFormat="1" applyFont="1" applyBorder="1" applyAlignment="1">
      <alignment horizontal="center" vertical="center" wrapText="1"/>
    </xf>
    <xf numFmtId="189" fontId="54" fillId="0" borderId="10" xfId="0" applyNumberFormat="1" applyFont="1" applyFill="1" applyBorder="1" applyAlignment="1">
      <alignment/>
    </xf>
    <xf numFmtId="2" fontId="56" fillId="0" borderId="10" xfId="0" applyNumberFormat="1" applyFont="1" applyFill="1" applyBorder="1" applyAlignment="1">
      <alignment horizontal="center"/>
    </xf>
    <xf numFmtId="2" fontId="56" fillId="0" borderId="10" xfId="0" applyNumberFormat="1" applyFont="1" applyBorder="1" applyAlignment="1">
      <alignment horizontal="center"/>
    </xf>
    <xf numFmtId="0" fontId="59" fillId="22" borderId="10" xfId="0" applyFont="1" applyFill="1" applyBorder="1" applyAlignment="1">
      <alignment vertical="center" wrapText="1"/>
    </xf>
    <xf numFmtId="49" fontId="60" fillId="22" borderId="10" xfId="0" applyNumberFormat="1" applyFont="1" applyFill="1" applyBorder="1" applyAlignment="1">
      <alignment horizontal="center" wrapText="1"/>
    </xf>
    <xf numFmtId="181" fontId="60" fillId="22" borderId="10" xfId="0" applyNumberFormat="1" applyFont="1" applyFill="1" applyBorder="1" applyAlignment="1">
      <alignment horizontal="center"/>
    </xf>
    <xf numFmtId="2" fontId="60" fillId="22" borderId="10" xfId="0" applyNumberFormat="1" applyFont="1" applyFill="1" applyBorder="1" applyAlignment="1">
      <alignment horizontal="center"/>
    </xf>
    <xf numFmtId="2" fontId="61" fillId="22" borderId="10" xfId="0" applyNumberFormat="1" applyFont="1" applyFill="1" applyBorder="1" applyAlignment="1">
      <alignment/>
    </xf>
    <xf numFmtId="0" fontId="55" fillId="0" borderId="0" xfId="0" applyFont="1" applyFill="1" applyAlignment="1">
      <alignment/>
    </xf>
    <xf numFmtId="49" fontId="59" fillId="22" borderId="10" xfId="0" applyNumberFormat="1" applyFont="1" applyFill="1" applyBorder="1" applyAlignment="1">
      <alignment horizontal="center" wrapText="1"/>
    </xf>
    <xf numFmtId="181" fontId="59" fillId="22" borderId="10" xfId="0" applyNumberFormat="1" applyFont="1" applyFill="1" applyBorder="1" applyAlignment="1">
      <alignment horizontal="center"/>
    </xf>
    <xf numFmtId="2" fontId="59" fillId="22" borderId="10" xfId="0" applyNumberFormat="1" applyFont="1" applyFill="1" applyBorder="1" applyAlignment="1">
      <alignment horizontal="center"/>
    </xf>
    <xf numFmtId="0" fontId="62" fillId="0" borderId="0" xfId="0" applyFont="1" applyFill="1" applyAlignment="1">
      <alignment/>
    </xf>
    <xf numFmtId="189" fontId="63" fillId="0" borderId="0" xfId="0" applyNumberFormat="1" applyFont="1" applyAlignment="1">
      <alignment/>
    </xf>
    <xf numFmtId="2" fontId="54" fillId="0" borderId="10" xfId="0" applyNumberFormat="1" applyFont="1" applyFill="1" applyBorder="1" applyAlignment="1">
      <alignment/>
    </xf>
    <xf numFmtId="189" fontId="58" fillId="0" borderId="0" xfId="0" applyNumberFormat="1" applyFont="1" applyFill="1" applyAlignment="1">
      <alignment/>
    </xf>
    <xf numFmtId="0" fontId="53" fillId="0" borderId="10" xfId="0" applyFont="1" applyFill="1" applyBorder="1" applyAlignment="1">
      <alignment horizontal="left" vertical="center" wrapText="1"/>
    </xf>
    <xf numFmtId="189" fontId="58" fillId="0" borderId="0" xfId="0" applyNumberFormat="1" applyFont="1" applyAlignment="1">
      <alignment/>
    </xf>
    <xf numFmtId="0" fontId="53" fillId="0" borderId="10" xfId="0" applyFont="1" applyBorder="1" applyAlignment="1">
      <alignment horizontal="left" vertical="center" wrapText="1"/>
    </xf>
    <xf numFmtId="0" fontId="56" fillId="20" borderId="30" xfId="0" applyFont="1" applyFill="1" applyBorder="1" applyAlignment="1">
      <alignment vertical="center" wrapText="1"/>
    </xf>
    <xf numFmtId="2" fontId="56" fillId="20" borderId="10" xfId="0" applyNumberFormat="1" applyFont="1" applyFill="1" applyBorder="1" applyAlignment="1">
      <alignment vertical="center" wrapText="1"/>
    </xf>
    <xf numFmtId="2" fontId="56" fillId="20" borderId="10" xfId="0" applyNumberFormat="1" applyFont="1" applyFill="1" applyBorder="1" applyAlignment="1">
      <alignment horizontal="center"/>
    </xf>
    <xf numFmtId="181" fontId="56" fillId="20" borderId="10" xfId="0" applyNumberFormat="1" applyFont="1" applyFill="1" applyBorder="1" applyAlignment="1">
      <alignment horizontal="center"/>
    </xf>
    <xf numFmtId="2" fontId="55" fillId="0" borderId="0" xfId="0" applyNumberFormat="1" applyFont="1" applyAlignment="1">
      <alignment/>
    </xf>
    <xf numFmtId="181" fontId="55" fillId="0" borderId="0" xfId="0" applyNumberFormat="1" applyFont="1" applyAlignment="1">
      <alignment/>
    </xf>
    <xf numFmtId="181" fontId="55" fillId="0" borderId="0" xfId="0" applyNumberFormat="1" applyFont="1" applyFill="1" applyAlignment="1">
      <alignment/>
    </xf>
    <xf numFmtId="2" fontId="55" fillId="0" borderId="0" xfId="0" applyNumberFormat="1" applyFont="1" applyFill="1" applyAlignment="1">
      <alignment/>
    </xf>
    <xf numFmtId="0" fontId="51" fillId="0" borderId="0" xfId="0" applyFont="1" applyAlignment="1">
      <alignment/>
    </xf>
    <xf numFmtId="189" fontId="51" fillId="0" borderId="0" xfId="0" applyNumberFormat="1" applyFont="1" applyAlignment="1">
      <alignment horizontal="right"/>
    </xf>
    <xf numFmtId="0" fontId="53" fillId="0" borderId="0" xfId="0" applyFont="1" applyFill="1" applyAlignment="1">
      <alignment/>
    </xf>
    <xf numFmtId="189" fontId="51" fillId="0" borderId="0" xfId="0" applyNumberFormat="1" applyFont="1" applyAlignment="1">
      <alignment/>
    </xf>
    <xf numFmtId="189" fontId="64" fillId="0" borderId="0" xfId="0" applyNumberFormat="1" applyFont="1" applyAlignment="1">
      <alignment/>
    </xf>
    <xf numFmtId="189" fontId="56" fillId="0" borderId="13" xfId="0" applyNumberFormat="1" applyFont="1" applyBorder="1" applyAlignment="1">
      <alignment horizontal="center" vertical="center"/>
    </xf>
    <xf numFmtId="189" fontId="56" fillId="0" borderId="13" xfId="0" applyNumberFormat="1" applyFont="1" applyBorder="1" applyAlignment="1">
      <alignment horizontal="center" vertical="center" wrapText="1"/>
    </xf>
    <xf numFmtId="0" fontId="56" fillId="20" borderId="31" xfId="0" applyFont="1" applyFill="1" applyBorder="1" applyAlignment="1">
      <alignment horizontal="center" vertical="center" wrapText="1"/>
    </xf>
    <xf numFmtId="0" fontId="56" fillId="20" borderId="31" xfId="0" applyFont="1" applyFill="1" applyBorder="1" applyAlignment="1">
      <alignment horizontal="left" vertical="center" wrapText="1"/>
    </xf>
    <xf numFmtId="0" fontId="53" fillId="20" borderId="31" xfId="0" applyFont="1" applyFill="1" applyBorder="1" applyAlignment="1">
      <alignment horizontal="center" vertical="center" wrapText="1"/>
    </xf>
    <xf numFmtId="2" fontId="56" fillId="20" borderId="31" xfId="0" applyNumberFormat="1" applyFont="1" applyFill="1" applyBorder="1" applyAlignment="1">
      <alignment horizontal="center" vertical="center" wrapText="1"/>
    </xf>
    <xf numFmtId="2" fontId="56" fillId="20" borderId="13" xfId="0" applyNumberFormat="1" applyFont="1" applyFill="1" applyBorder="1" applyAlignment="1">
      <alignment horizontal="center" vertical="center" wrapText="1"/>
    </xf>
    <xf numFmtId="189" fontId="65" fillId="0" borderId="0" xfId="0" applyNumberFormat="1" applyFont="1" applyAlignment="1">
      <alignment/>
    </xf>
    <xf numFmtId="0" fontId="53" fillId="0" borderId="10" xfId="0" applyFont="1" applyBorder="1" applyAlignment="1">
      <alignment horizontal="center" vertical="center" wrapText="1"/>
    </xf>
    <xf numFmtId="0" fontId="53" fillId="0" borderId="10" xfId="0" applyFont="1" applyFill="1" applyBorder="1" applyAlignment="1">
      <alignment horizontal="center" vertical="center" wrapText="1"/>
    </xf>
    <xf numFmtId="2" fontId="53" fillId="0" borderId="10" xfId="0" applyNumberFormat="1" applyFont="1" applyFill="1" applyBorder="1" applyAlignment="1">
      <alignment horizontal="center" vertical="center" wrapText="1"/>
    </xf>
    <xf numFmtId="2" fontId="53" fillId="0" borderId="32" xfId="0" applyNumberFormat="1" applyFont="1" applyBorder="1" applyAlignment="1">
      <alignment horizontal="center" vertical="center" wrapText="1"/>
    </xf>
    <xf numFmtId="181" fontId="51" fillId="0" borderId="0" xfId="0" applyNumberFormat="1" applyFont="1" applyAlignment="1">
      <alignment/>
    </xf>
    <xf numFmtId="2" fontId="53" fillId="0" borderId="33" xfId="0" applyNumberFormat="1" applyFont="1" applyBorder="1" applyAlignment="1">
      <alignment horizontal="center" vertical="center" wrapText="1"/>
    </xf>
    <xf numFmtId="2" fontId="53" fillId="0" borderId="10" xfId="0" applyNumberFormat="1" applyFont="1" applyFill="1" applyBorder="1" applyAlignment="1">
      <alignment vertical="center" wrapText="1"/>
    </xf>
    <xf numFmtId="2" fontId="53" fillId="0" borderId="10" xfId="0" applyNumberFormat="1" applyFont="1" applyBorder="1" applyAlignment="1">
      <alignment horizontal="center" vertical="center" wrapText="1"/>
    </xf>
    <xf numFmtId="2" fontId="53" fillId="0" borderId="11" xfId="0" applyNumberFormat="1" applyFont="1" applyFill="1" applyBorder="1" applyAlignment="1">
      <alignment horizontal="center" vertical="center" wrapText="1"/>
    </xf>
    <xf numFmtId="2" fontId="53" fillId="0" borderId="34" xfId="0" applyNumberFormat="1" applyFont="1" applyBorder="1" applyAlignment="1">
      <alignment horizontal="center" vertical="center" wrapText="1"/>
    </xf>
    <xf numFmtId="0" fontId="57" fillId="0" borderId="10" xfId="0" applyFont="1" applyBorder="1" applyAlignment="1">
      <alignment vertical="center" wrapText="1"/>
    </xf>
    <xf numFmtId="0" fontId="56" fillId="20" borderId="30" xfId="0" applyFont="1" applyFill="1" applyBorder="1" applyAlignment="1">
      <alignment horizontal="center" vertical="center" wrapText="1"/>
    </xf>
    <xf numFmtId="0" fontId="56" fillId="20" borderId="30" xfId="0" applyFont="1" applyFill="1" applyBorder="1" applyAlignment="1">
      <alignment horizontal="left" vertical="center" wrapText="1"/>
    </xf>
    <xf numFmtId="0" fontId="53" fillId="20" borderId="30" xfId="0" applyFont="1" applyFill="1" applyBorder="1" applyAlignment="1">
      <alignment horizontal="center" vertical="center" wrapText="1"/>
    </xf>
    <xf numFmtId="2" fontId="56" fillId="20" borderId="30" xfId="0" applyNumberFormat="1" applyFont="1" applyFill="1" applyBorder="1" applyAlignment="1">
      <alignment horizontal="center" vertical="center" wrapText="1"/>
    </xf>
    <xf numFmtId="2" fontId="66"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top"/>
    </xf>
    <xf numFmtId="0" fontId="53" fillId="0" borderId="10" xfId="0" applyFont="1" applyFill="1" applyBorder="1" applyAlignment="1">
      <alignment vertical="top" wrapText="1"/>
    </xf>
    <xf numFmtId="189" fontId="53" fillId="0" borderId="10" xfId="0" applyNumberFormat="1" applyFont="1" applyFill="1" applyBorder="1" applyAlignment="1">
      <alignment vertical="top" wrapText="1"/>
    </xf>
    <xf numFmtId="0" fontId="56" fillId="20" borderId="10" xfId="0" applyFont="1" applyFill="1" applyBorder="1" applyAlignment="1">
      <alignment horizontal="center" vertical="center" wrapText="1"/>
    </xf>
    <xf numFmtId="0" fontId="56" fillId="20" borderId="10" xfId="0" applyFont="1" applyFill="1" applyBorder="1" applyAlignment="1">
      <alignment vertical="center" wrapText="1"/>
    </xf>
    <xf numFmtId="0" fontId="53" fillId="20" borderId="10" xfId="0" applyFont="1" applyFill="1" applyBorder="1" applyAlignment="1">
      <alignment horizontal="center" vertical="center" wrapText="1"/>
    </xf>
    <xf numFmtId="2" fontId="56" fillId="20" borderId="10" xfId="0" applyNumberFormat="1" applyFont="1" applyFill="1" applyBorder="1" applyAlignment="1">
      <alignment horizontal="center" vertical="center" wrapText="1"/>
    </xf>
    <xf numFmtId="181" fontId="65" fillId="0" borderId="0" xfId="0" applyNumberFormat="1" applyFont="1" applyAlignment="1">
      <alignment/>
    </xf>
    <xf numFmtId="0" fontId="53" fillId="0" borderId="10" xfId="0" applyFont="1" applyFill="1" applyBorder="1" applyAlignment="1">
      <alignment horizontal="center" vertical="center"/>
    </xf>
    <xf numFmtId="2" fontId="55" fillId="20" borderId="10" xfId="0" applyNumberFormat="1" applyFont="1" applyFill="1" applyBorder="1" applyAlignment="1">
      <alignment/>
    </xf>
    <xf numFmtId="2" fontId="55" fillId="0" borderId="10" xfId="0" applyNumberFormat="1" applyFont="1" applyBorder="1" applyAlignment="1">
      <alignment/>
    </xf>
    <xf numFmtId="0" fontId="56" fillId="20" borderId="10" xfId="0" applyFont="1" applyFill="1" applyBorder="1" applyAlignment="1">
      <alignment vertical="top" wrapText="1"/>
    </xf>
    <xf numFmtId="2" fontId="53" fillId="20" borderId="10" xfId="0" applyNumberFormat="1" applyFont="1" applyFill="1" applyBorder="1" applyAlignment="1">
      <alignment vertical="center" wrapText="1"/>
    </xf>
    <xf numFmtId="2" fontId="56" fillId="0" borderId="10" xfId="0" applyNumberFormat="1" applyFont="1" applyFill="1" applyBorder="1" applyAlignment="1">
      <alignment horizontal="center" vertical="center" wrapText="1"/>
    </xf>
    <xf numFmtId="0" fontId="51" fillId="0" borderId="0" xfId="0" applyFont="1" applyFill="1" applyAlignment="1">
      <alignment/>
    </xf>
    <xf numFmtId="2" fontId="53" fillId="0" borderId="11" xfId="0" applyNumberFormat="1" applyFont="1" applyFill="1" applyBorder="1" applyAlignment="1">
      <alignment vertical="center" wrapText="1"/>
    </xf>
    <xf numFmtId="0" fontId="56" fillId="20" borderId="10" xfId="0" applyFont="1" applyFill="1" applyBorder="1" applyAlignment="1">
      <alignment horizontal="center" vertical="center"/>
    </xf>
    <xf numFmtId="2" fontId="56" fillId="20" borderId="10" xfId="0" applyNumberFormat="1" applyFont="1" applyFill="1" applyBorder="1" applyAlignment="1">
      <alignment horizontal="center" vertical="center"/>
    </xf>
    <xf numFmtId="0" fontId="53" fillId="0" borderId="10" xfId="0" applyFont="1" applyBorder="1" applyAlignment="1">
      <alignment horizontal="center" vertical="center"/>
    </xf>
    <xf numFmtId="2" fontId="53" fillId="0" borderId="10" xfId="0" applyNumberFormat="1" applyFont="1" applyFill="1" applyBorder="1" applyAlignment="1">
      <alignment horizontal="center" vertical="center"/>
    </xf>
    <xf numFmtId="2" fontId="53" fillId="0" borderId="10" xfId="0" applyNumberFormat="1" applyFont="1" applyBorder="1" applyAlignment="1">
      <alignment horizontal="center" vertical="center"/>
    </xf>
    <xf numFmtId="0" fontId="64" fillId="0" borderId="10" xfId="0" applyFont="1" applyBorder="1" applyAlignment="1">
      <alignment/>
    </xf>
    <xf numFmtId="2" fontId="56" fillId="0" borderId="10" xfId="0" applyNumberFormat="1" applyFont="1" applyFill="1" applyBorder="1" applyAlignment="1">
      <alignment horizontal="center" vertical="center"/>
    </xf>
    <xf numFmtId="0" fontId="53" fillId="20" borderId="10" xfId="0" applyFont="1" applyFill="1" applyBorder="1" applyAlignment="1">
      <alignment horizontal="center" vertical="center"/>
    </xf>
    <xf numFmtId="2" fontId="56" fillId="20" borderId="10" xfId="0" applyNumberFormat="1" applyFont="1" applyFill="1" applyBorder="1" applyAlignment="1">
      <alignment/>
    </xf>
    <xf numFmtId="189" fontId="53" fillId="0" borderId="10" xfId="0" applyNumberFormat="1" applyFont="1" applyFill="1" applyBorder="1" applyAlignment="1">
      <alignment horizontal="left" vertical="center" wrapText="1"/>
    </xf>
    <xf numFmtId="2" fontId="53" fillId="0" borderId="10" xfId="0" applyNumberFormat="1" applyFont="1" applyFill="1" applyBorder="1" applyAlignment="1">
      <alignment vertical="center"/>
    </xf>
    <xf numFmtId="2" fontId="53" fillId="0" borderId="10" xfId="0" applyNumberFormat="1" applyFont="1" applyBorder="1" applyAlignment="1">
      <alignment horizontal="right" vertical="center" wrapText="1"/>
    </xf>
    <xf numFmtId="0" fontId="53" fillId="0" borderId="14" xfId="0" applyNumberFormat="1" applyFont="1" applyFill="1" applyBorder="1" applyAlignment="1">
      <alignment horizontal="right" vertical="top"/>
    </xf>
    <xf numFmtId="189" fontId="53" fillId="0" borderId="13" xfId="0" applyNumberFormat="1" applyFont="1" applyFill="1" applyBorder="1" applyAlignment="1">
      <alignment vertical="justify" wrapText="1"/>
    </xf>
    <xf numFmtId="2" fontId="53" fillId="0" borderId="10" xfId="0" applyNumberFormat="1" applyFont="1" applyBorder="1" applyAlignment="1">
      <alignment vertical="center"/>
    </xf>
    <xf numFmtId="2" fontId="53" fillId="0" borderId="10" xfId="0" applyNumberFormat="1" applyFont="1" applyFill="1" applyBorder="1" applyAlignment="1">
      <alignment horizontal="left" vertical="center" wrapText="1"/>
    </xf>
    <xf numFmtId="2" fontId="56" fillId="20" borderId="10" xfId="0" applyNumberFormat="1" applyFont="1" applyFill="1" applyBorder="1" applyAlignment="1">
      <alignment horizontal="right"/>
    </xf>
    <xf numFmtId="2" fontId="53" fillId="0" borderId="10" xfId="0" applyNumberFormat="1" applyFont="1" applyBorder="1" applyAlignment="1">
      <alignment/>
    </xf>
    <xf numFmtId="0" fontId="57" fillId="0" borderId="10" xfId="0" applyFont="1" applyBorder="1" applyAlignment="1">
      <alignment horizontal="left" vertical="center" wrapText="1"/>
    </xf>
    <xf numFmtId="0" fontId="56" fillId="20" borderId="10" xfId="0" applyFont="1" applyFill="1" applyBorder="1" applyAlignment="1">
      <alignment horizontal="left" vertical="center" wrapText="1"/>
    </xf>
    <xf numFmtId="0" fontId="56" fillId="20" borderId="10" xfId="0" applyFont="1" applyFill="1" applyBorder="1" applyAlignment="1">
      <alignment horizontal="center" vertical="top"/>
    </xf>
    <xf numFmtId="0" fontId="56" fillId="20" borderId="10" xfId="0" applyFont="1" applyFill="1" applyBorder="1" applyAlignment="1">
      <alignment horizontal="left" vertical="top" wrapText="1"/>
    </xf>
    <xf numFmtId="2" fontId="53" fillId="0" borderId="10" xfId="0" applyNumberFormat="1" applyFont="1" applyFill="1" applyBorder="1" applyAlignment="1">
      <alignment horizontal="centerContinuous" wrapText="1"/>
    </xf>
    <xf numFmtId="2" fontId="53" fillId="0" borderId="10" xfId="0" applyNumberFormat="1" applyFont="1" applyFill="1" applyBorder="1" applyAlignment="1">
      <alignment wrapText="1"/>
    </xf>
    <xf numFmtId="2" fontId="53" fillId="0" borderId="10" xfId="0" applyNumberFormat="1" applyFont="1" applyBorder="1" applyAlignment="1">
      <alignment horizontal="centerContinuous" wrapText="1"/>
    </xf>
    <xf numFmtId="2" fontId="53" fillId="0" borderId="10" xfId="0" applyNumberFormat="1" applyFont="1" applyBorder="1" applyAlignment="1">
      <alignment wrapText="1"/>
    </xf>
    <xf numFmtId="189" fontId="65" fillId="0" borderId="0" xfId="0" applyNumberFormat="1" applyFont="1" applyAlignment="1">
      <alignment horizontal="right"/>
    </xf>
    <xf numFmtId="0" fontId="65" fillId="0" borderId="0" xfId="0" applyFont="1" applyAlignment="1">
      <alignment/>
    </xf>
    <xf numFmtId="1" fontId="56" fillId="0" borderId="0" xfId="0" applyNumberFormat="1" applyFont="1" applyFill="1" applyBorder="1" applyAlignment="1">
      <alignment horizontal="center" vertical="center" wrapText="1"/>
    </xf>
    <xf numFmtId="1" fontId="56" fillId="0" borderId="19" xfId="0" applyNumberFormat="1" applyFont="1" applyFill="1" applyBorder="1" applyAlignment="1">
      <alignment horizontal="center" vertical="center" wrapText="1"/>
    </xf>
    <xf numFmtId="0" fontId="56" fillId="0" borderId="17" xfId="0" applyFont="1" applyFill="1" applyBorder="1" applyAlignment="1">
      <alignment horizontal="center"/>
    </xf>
    <xf numFmtId="189" fontId="35" fillId="0" borderId="10" xfId="0" applyNumberFormat="1" applyFont="1" applyFill="1" applyBorder="1" applyAlignment="1">
      <alignment horizontal="left" vertical="top" wrapText="1"/>
    </xf>
    <xf numFmtId="0" fontId="46" fillId="0" borderId="0" xfId="0" applyFont="1" applyFill="1" applyAlignment="1">
      <alignment/>
    </xf>
    <xf numFmtId="0" fontId="46" fillId="0" borderId="0" xfId="0" applyFont="1" applyFill="1" applyBorder="1" applyAlignment="1">
      <alignment/>
    </xf>
    <xf numFmtId="0" fontId="43" fillId="0" borderId="0" xfId="0" applyFont="1" applyFill="1" applyAlignment="1">
      <alignment horizontal="center"/>
    </xf>
    <xf numFmtId="0" fontId="35" fillId="0" borderId="0" xfId="0" applyFont="1" applyFill="1" applyBorder="1" applyAlignment="1">
      <alignment/>
    </xf>
    <xf numFmtId="0" fontId="46" fillId="0" borderId="0" xfId="0" applyFont="1" applyFill="1" applyAlignment="1">
      <alignment horizontal="center"/>
    </xf>
    <xf numFmtId="0" fontId="35" fillId="0" borderId="0" xfId="0" applyFont="1" applyFill="1" applyAlignment="1">
      <alignment horizontal="right"/>
    </xf>
    <xf numFmtId="0" fontId="43" fillId="0" borderId="10" xfId="0" applyFont="1" applyFill="1" applyBorder="1" applyAlignment="1">
      <alignment horizontal="center"/>
    </xf>
    <xf numFmtId="0" fontId="43" fillId="0" borderId="10" xfId="0" applyFont="1" applyFill="1" applyBorder="1" applyAlignment="1">
      <alignment horizontal="center" wrapText="1"/>
    </xf>
    <xf numFmtId="0" fontId="43" fillId="0" borderId="10" xfId="0" applyFont="1" applyFill="1" applyBorder="1" applyAlignment="1">
      <alignment horizontal="center" vertical="top" wrapText="1"/>
    </xf>
    <xf numFmtId="0" fontId="43" fillId="0" borderId="10" xfId="0" applyFont="1" applyFill="1" applyBorder="1" applyAlignment="1">
      <alignment horizontal="left"/>
    </xf>
    <xf numFmtId="0" fontId="35" fillId="0" borderId="10" xfId="0" applyFont="1" applyFill="1" applyBorder="1" applyAlignment="1">
      <alignment/>
    </xf>
    <xf numFmtId="0" fontId="35" fillId="0" borderId="10" xfId="0" applyFont="1" applyFill="1" applyBorder="1" applyAlignment="1">
      <alignment horizontal="left"/>
    </xf>
    <xf numFmtId="2" fontId="43" fillId="0" borderId="10" xfId="0" applyNumberFormat="1" applyFont="1" applyFill="1" applyBorder="1" applyAlignment="1">
      <alignment horizontal="center"/>
    </xf>
    <xf numFmtId="0" fontId="43" fillId="0" borderId="14" xfId="0" applyFont="1" applyFill="1" applyBorder="1" applyAlignment="1">
      <alignment horizontal="center" vertical="top" wrapText="1"/>
    </xf>
    <xf numFmtId="0" fontId="35" fillId="0" borderId="19" xfId="0" applyFont="1" applyFill="1" applyBorder="1" applyAlignment="1">
      <alignment horizontal="left" wrapText="1"/>
    </xf>
    <xf numFmtId="0" fontId="35" fillId="0" borderId="10" xfId="0" applyFont="1" applyFill="1" applyBorder="1" applyAlignment="1">
      <alignment horizontal="left" wrapText="1"/>
    </xf>
    <xf numFmtId="0" fontId="43" fillId="0" borderId="10" xfId="0" applyFont="1" applyFill="1" applyBorder="1" applyAlignment="1">
      <alignment horizontal="left" wrapText="1"/>
    </xf>
    <xf numFmtId="0" fontId="43" fillId="0" borderId="19" xfId="0" applyFont="1" applyFill="1" applyBorder="1" applyAlignment="1">
      <alignment horizontal="center" vertical="top" wrapText="1"/>
    </xf>
    <xf numFmtId="0" fontId="67" fillId="0" borderId="0" xfId="0" applyFont="1" applyAlignment="1">
      <alignment/>
    </xf>
    <xf numFmtId="0" fontId="68" fillId="0" borderId="0" xfId="0" applyFont="1" applyAlignment="1">
      <alignment/>
    </xf>
    <xf numFmtId="0" fontId="69" fillId="0" borderId="0" xfId="0" applyFont="1" applyAlignment="1">
      <alignment/>
    </xf>
    <xf numFmtId="0" fontId="67" fillId="0" borderId="0" xfId="0" applyFont="1" applyFill="1" applyAlignment="1">
      <alignment/>
    </xf>
    <xf numFmtId="0" fontId="56" fillId="20" borderId="19" xfId="0" applyFont="1" applyFill="1" applyBorder="1" applyAlignment="1">
      <alignment horizontal="center"/>
    </xf>
    <xf numFmtId="0" fontId="0" fillId="0" borderId="0" xfId="0" applyFont="1" applyAlignment="1">
      <alignment wrapText="1"/>
    </xf>
    <xf numFmtId="0" fontId="0" fillId="0" borderId="0" xfId="0" applyFont="1" applyAlignment="1">
      <alignment vertical="center"/>
    </xf>
    <xf numFmtId="192" fontId="0" fillId="0" borderId="0" xfId="0" applyNumberFormat="1" applyFont="1" applyAlignment="1">
      <alignment/>
    </xf>
    <xf numFmtId="0" fontId="0" fillId="0" borderId="0" xfId="0" applyFont="1" applyAlignment="1">
      <alignment/>
    </xf>
    <xf numFmtId="0" fontId="70" fillId="0" borderId="0" xfId="0" applyFont="1" applyAlignment="1">
      <alignment wrapText="1"/>
    </xf>
    <xf numFmtId="0" fontId="70" fillId="0" borderId="0" xfId="0" applyFont="1" applyAlignment="1">
      <alignment vertical="center"/>
    </xf>
    <xf numFmtId="192" fontId="70" fillId="0" borderId="0" xfId="0" applyNumberFormat="1" applyFont="1" applyAlignment="1">
      <alignment/>
    </xf>
    <xf numFmtId="0" fontId="71" fillId="0" borderId="0" xfId="0" applyFont="1" applyAlignment="1">
      <alignment horizontal="left"/>
    </xf>
    <xf numFmtId="192" fontId="0" fillId="0" borderId="0" xfId="0" applyNumberFormat="1" applyFont="1" applyAlignment="1">
      <alignment/>
    </xf>
    <xf numFmtId="0" fontId="0" fillId="0" borderId="0" xfId="0" applyFont="1" applyAlignment="1">
      <alignment/>
    </xf>
    <xf numFmtId="0" fontId="0" fillId="0" borderId="0" xfId="0" applyFont="1" applyBorder="1" applyAlignment="1">
      <alignment wrapText="1"/>
    </xf>
    <xf numFmtId="0" fontId="0" fillId="0" borderId="0" xfId="0" applyFont="1" applyBorder="1" applyAlignment="1">
      <alignment vertical="center"/>
    </xf>
    <xf numFmtId="192" fontId="0" fillId="0" borderId="0" xfId="0" applyNumberFormat="1" applyFont="1" applyBorder="1" applyAlignment="1">
      <alignment/>
    </xf>
    <xf numFmtId="192" fontId="73" fillId="0" borderId="10" xfId="0" applyNumberFormat="1" applyFont="1" applyBorder="1" applyAlignment="1">
      <alignment vertical="center" wrapText="1"/>
    </xf>
    <xf numFmtId="0" fontId="75" fillId="0" borderId="10" xfId="0" applyFont="1" applyBorder="1" applyAlignment="1">
      <alignment wrapText="1"/>
    </xf>
    <xf numFmtId="0" fontId="0" fillId="0" borderId="10" xfId="0" applyFont="1" applyBorder="1" applyAlignment="1">
      <alignment horizontal="right" vertical="center"/>
    </xf>
    <xf numFmtId="4" fontId="0" fillId="0" borderId="10" xfId="0" applyNumberFormat="1" applyFont="1" applyBorder="1" applyAlignment="1">
      <alignment horizontal="right" vertical="center"/>
    </xf>
    <xf numFmtId="0" fontId="0" fillId="0" borderId="0" xfId="0" applyFont="1" applyAlignment="1">
      <alignment/>
    </xf>
    <xf numFmtId="0" fontId="75" fillId="0" borderId="10" xfId="0" applyFont="1" applyFill="1" applyBorder="1" applyAlignment="1">
      <alignment wrapText="1"/>
    </xf>
    <xf numFmtId="0" fontId="0" fillId="0" borderId="10" xfId="0" applyFont="1" applyFill="1" applyBorder="1" applyAlignment="1">
      <alignment horizontal="right" vertical="center"/>
    </xf>
    <xf numFmtId="4" fontId="0" fillId="0" borderId="10" xfId="0" applyNumberFormat="1" applyFont="1" applyFill="1" applyBorder="1" applyAlignment="1">
      <alignment horizontal="right" vertical="center"/>
    </xf>
    <xf numFmtId="0" fontId="0" fillId="0" borderId="0" xfId="0" applyFont="1" applyFill="1" applyAlignment="1">
      <alignment/>
    </xf>
    <xf numFmtId="0" fontId="74" fillId="0" borderId="10" xfId="0" applyFont="1" applyBorder="1" applyAlignment="1">
      <alignment wrapText="1"/>
    </xf>
    <xf numFmtId="181" fontId="0" fillId="0" borderId="0" xfId="0" applyNumberFormat="1" applyFont="1" applyAlignment="1">
      <alignment/>
    </xf>
    <xf numFmtId="0" fontId="75" fillId="0" borderId="10" xfId="53" applyFont="1" applyBorder="1" applyAlignment="1">
      <alignment wrapText="1"/>
      <protection/>
    </xf>
    <xf numFmtId="0" fontId="75" fillId="0" borderId="10" xfId="0" applyFont="1" applyBorder="1" applyAlignment="1" applyProtection="1">
      <alignment vertical="top" wrapText="1"/>
      <protection locked="0"/>
    </xf>
    <xf numFmtId="0" fontId="75" fillId="0" borderId="10" xfId="0" applyNumberFormat="1" applyFont="1" applyBorder="1" applyAlignment="1">
      <alignment vertical="center" wrapText="1"/>
    </xf>
    <xf numFmtId="49" fontId="0" fillId="0" borderId="10" xfId="0" applyNumberFormat="1" applyFont="1" applyBorder="1" applyAlignment="1">
      <alignment horizontal="right" vertical="center"/>
    </xf>
    <xf numFmtId="0" fontId="75" fillId="0" borderId="10" xfId="0" applyNumberFormat="1" applyFont="1" applyFill="1" applyBorder="1" applyAlignment="1">
      <alignment vertical="center" wrapText="1"/>
    </xf>
    <xf numFmtId="49" fontId="0" fillId="0" borderId="10" xfId="0" applyNumberFormat="1" applyFont="1" applyFill="1" applyBorder="1" applyAlignment="1">
      <alignment horizontal="right" vertical="center"/>
    </xf>
    <xf numFmtId="49" fontId="75" fillId="0" borderId="10" xfId="0" applyNumberFormat="1" applyFont="1" applyBorder="1" applyAlignment="1">
      <alignment vertical="center" wrapText="1"/>
    </xf>
    <xf numFmtId="1" fontId="0" fillId="0" borderId="10" xfId="0" applyNumberFormat="1" applyFont="1" applyBorder="1" applyAlignment="1">
      <alignment horizontal="right" vertical="center"/>
    </xf>
    <xf numFmtId="49" fontId="75" fillId="0" borderId="10" xfId="0" applyNumberFormat="1" applyFont="1" applyFill="1" applyBorder="1" applyAlignment="1">
      <alignment vertical="center" wrapText="1"/>
    </xf>
    <xf numFmtId="181" fontId="0" fillId="0" borderId="10" xfId="0" applyNumberFormat="1" applyFont="1" applyBorder="1" applyAlignment="1">
      <alignment horizontal="right" vertical="center"/>
    </xf>
    <xf numFmtId="0" fontId="0" fillId="0" borderId="10" xfId="0" applyFont="1" applyBorder="1" applyAlignment="1">
      <alignment wrapText="1"/>
    </xf>
    <xf numFmtId="0" fontId="74" fillId="0" borderId="10" xfId="0" applyFont="1" applyBorder="1" applyAlignment="1">
      <alignment/>
    </xf>
    <xf numFmtId="0" fontId="75" fillId="0" borderId="0" xfId="0" applyFont="1" applyAlignment="1">
      <alignment wrapText="1"/>
    </xf>
    <xf numFmtId="0" fontId="75" fillId="0" borderId="0" xfId="0" applyFont="1" applyAlignment="1">
      <alignment vertical="center"/>
    </xf>
    <xf numFmtId="192" fontId="75" fillId="0" borderId="0" xfId="0" applyNumberFormat="1" applyFont="1" applyAlignment="1">
      <alignment/>
    </xf>
    <xf numFmtId="0" fontId="4" fillId="0" borderId="10" xfId="0" applyFont="1" applyFill="1" applyBorder="1" applyAlignment="1">
      <alignment horizontal="left" vertical="center" wrapText="1"/>
    </xf>
    <xf numFmtId="0" fontId="76" fillId="26" borderId="0" xfId="0" applyFont="1" applyFill="1" applyAlignment="1">
      <alignment/>
    </xf>
    <xf numFmtId="0" fontId="67" fillId="0" borderId="0" xfId="0" applyFont="1" applyFill="1" applyAlignment="1">
      <alignment horizontal="right"/>
    </xf>
    <xf numFmtId="181" fontId="26" fillId="0" borderId="0" xfId="0" applyNumberFormat="1" applyAlignment="1">
      <alignment horizontal="right"/>
    </xf>
    <xf numFmtId="182" fontId="78" fillId="0" borderId="0" xfId="0" applyNumberFormat="1" applyFont="1" applyAlignment="1">
      <alignment horizontal="left"/>
    </xf>
    <xf numFmtId="181" fontId="79" fillId="0" borderId="0" xfId="0" applyNumberFormat="1" applyFont="1" applyAlignment="1">
      <alignment/>
    </xf>
    <xf numFmtId="0" fontId="78" fillId="0" borderId="23" xfId="0" applyFont="1" applyBorder="1" applyAlignment="1">
      <alignment horizontal="center" vertical="center" wrapText="1"/>
    </xf>
    <xf numFmtId="181" fontId="78" fillId="0" borderId="10" xfId="0" applyNumberFormat="1" applyFont="1" applyBorder="1" applyAlignment="1">
      <alignment horizontal="center" vertical="center" wrapText="1"/>
    </xf>
    <xf numFmtId="0" fontId="78" fillId="20" borderId="23" xfId="0" applyFont="1" applyFill="1" applyBorder="1" applyAlignment="1">
      <alignment horizontal="center" vertical="center" wrapText="1"/>
    </xf>
    <xf numFmtId="2" fontId="80" fillId="20" borderId="10" xfId="0" applyNumberFormat="1" applyFont="1" applyFill="1" applyBorder="1" applyAlignment="1">
      <alignment horizontal="center" vertical="center"/>
    </xf>
    <xf numFmtId="0" fontId="81" fillId="0" borderId="35" xfId="0" applyFont="1" applyBorder="1" applyAlignment="1">
      <alignment vertical="center" wrapText="1"/>
    </xf>
    <xf numFmtId="2" fontId="82" fillId="0" borderId="10" xfId="0" applyNumberFormat="1" applyFont="1" applyFill="1" applyBorder="1" applyAlignment="1">
      <alignment horizontal="center" vertical="center"/>
    </xf>
    <xf numFmtId="0" fontId="81" fillId="0" borderId="35" xfId="0" applyNumberFormat="1" applyFont="1" applyFill="1" applyBorder="1" applyAlignment="1">
      <alignment vertical="center" wrapText="1"/>
    </xf>
    <xf numFmtId="0" fontId="81" fillId="0" borderId="36" xfId="0" applyFont="1" applyBorder="1" applyAlignment="1">
      <alignment vertical="center" wrapText="1"/>
    </xf>
    <xf numFmtId="0" fontId="81" fillId="0" borderId="37" xfId="0" applyFont="1" applyFill="1" applyBorder="1" applyAlignment="1">
      <alignment horizontal="left" vertical="center" wrapText="1"/>
    </xf>
    <xf numFmtId="0" fontId="81" fillId="0" borderId="38" xfId="0" applyFont="1" applyFill="1" applyBorder="1" applyAlignment="1">
      <alignment vertical="center" wrapText="1"/>
    </xf>
    <xf numFmtId="0" fontId="78" fillId="20" borderId="22" xfId="0" applyFont="1" applyFill="1" applyBorder="1" applyAlignment="1">
      <alignment horizontal="center" vertical="center" wrapText="1"/>
    </xf>
    <xf numFmtId="0" fontId="81" fillId="0" borderId="35" xfId="0" applyNumberFormat="1" applyFont="1" applyBorder="1" applyAlignment="1">
      <alignment vertical="center" wrapText="1"/>
    </xf>
    <xf numFmtId="0" fontId="81" fillId="0" borderId="37" xfId="0" applyNumberFormat="1" applyFont="1" applyFill="1" applyBorder="1" applyAlignment="1">
      <alignment vertical="center" wrapText="1"/>
    </xf>
    <xf numFmtId="189" fontId="81" fillId="0" borderId="18" xfId="0" applyNumberFormat="1" applyFont="1" applyFill="1" applyBorder="1" applyAlignment="1">
      <alignment horizontal="left" vertical="top" wrapText="1"/>
    </xf>
    <xf numFmtId="0" fontId="78" fillId="20" borderId="39" xfId="0" applyNumberFormat="1" applyFont="1" applyFill="1" applyBorder="1" applyAlignment="1">
      <alignment horizontal="center" vertical="center" wrapText="1"/>
    </xf>
    <xf numFmtId="2" fontId="80" fillId="20" borderId="10" xfId="0" applyNumberFormat="1" applyFont="1" applyFill="1" applyBorder="1" applyAlignment="1">
      <alignment horizontal="center" vertical="center" wrapText="1"/>
    </xf>
    <xf numFmtId="2" fontId="82" fillId="0" borderId="10" xfId="0" applyNumberFormat="1" applyFont="1" applyFill="1" applyBorder="1" applyAlignment="1">
      <alignment horizontal="center" vertical="center" wrapText="1"/>
    </xf>
    <xf numFmtId="189" fontId="81" fillId="0" borderId="0" xfId="0" applyNumberFormat="1" applyFont="1" applyFill="1" applyBorder="1" applyAlignment="1">
      <alignment horizontal="left" vertical="top" wrapText="1"/>
    </xf>
    <xf numFmtId="189" fontId="81" fillId="0" borderId="10" xfId="0" applyNumberFormat="1" applyFont="1" applyFill="1" applyBorder="1" applyAlignment="1">
      <alignment horizontal="left" vertical="top" wrapText="1"/>
    </xf>
    <xf numFmtId="0" fontId="81" fillId="0" borderId="37" xfId="0" applyFont="1" applyFill="1" applyBorder="1" applyAlignment="1">
      <alignment vertical="center" wrapText="1"/>
    </xf>
    <xf numFmtId="0" fontId="78" fillId="20" borderId="22" xfId="0" applyNumberFormat="1" applyFont="1" applyFill="1" applyBorder="1" applyAlignment="1">
      <alignment horizontal="center" vertical="center" wrapText="1"/>
    </xf>
    <xf numFmtId="0" fontId="81" fillId="0" borderId="10" xfId="0" applyNumberFormat="1" applyFont="1" applyFill="1" applyBorder="1" applyAlignment="1">
      <alignment vertical="center" wrapText="1"/>
    </xf>
    <xf numFmtId="0" fontId="78" fillId="20" borderId="40" xfId="0" applyNumberFormat="1" applyFont="1" applyFill="1" applyBorder="1" applyAlignment="1">
      <alignment horizontal="center" vertical="center" wrapText="1"/>
    </xf>
    <xf numFmtId="0" fontId="78" fillId="20" borderId="23" xfId="0" applyNumberFormat="1" applyFont="1" applyFill="1" applyBorder="1" applyAlignment="1">
      <alignment horizontal="center" vertical="center" wrapText="1"/>
    </xf>
    <xf numFmtId="0" fontId="81" fillId="0" borderId="18" xfId="0" applyNumberFormat="1" applyFont="1" applyFill="1" applyBorder="1" applyAlignment="1">
      <alignment vertical="center" wrapText="1"/>
    </xf>
    <xf numFmtId="189" fontId="78" fillId="20" borderId="18" xfId="0" applyNumberFormat="1" applyFont="1" applyFill="1" applyBorder="1" applyAlignment="1">
      <alignment horizontal="center" vertical="center" wrapText="1"/>
    </xf>
    <xf numFmtId="0" fontId="77" fillId="20" borderId="22" xfId="0" applyFont="1" applyFill="1" applyBorder="1" applyAlignment="1">
      <alignment horizontal="center"/>
    </xf>
    <xf numFmtId="0" fontId="83" fillId="0" borderId="0" xfId="0" applyFont="1" applyAlignment="1">
      <alignment horizontal="right"/>
    </xf>
    <xf numFmtId="182" fontId="83" fillId="0" borderId="0" xfId="0" applyNumberFormat="1" applyFont="1" applyAlignment="1">
      <alignment/>
    </xf>
    <xf numFmtId="0" fontId="79" fillId="0" borderId="0" xfId="0" applyFont="1" applyAlignment="1">
      <alignment/>
    </xf>
    <xf numFmtId="181" fontId="83" fillId="0" borderId="0" xfId="0" applyNumberFormat="1" applyFont="1" applyAlignment="1">
      <alignment/>
    </xf>
    <xf numFmtId="189" fontId="68" fillId="0" borderId="0" xfId="0" applyNumberFormat="1" applyFont="1" applyAlignment="1">
      <alignment horizontal="right"/>
    </xf>
    <xf numFmtId="0" fontId="84" fillId="0" borderId="0" xfId="0" applyFont="1" applyAlignment="1">
      <alignment/>
    </xf>
    <xf numFmtId="181" fontId="85" fillId="0" borderId="0" xfId="0" applyNumberFormat="1" applyFont="1" applyAlignment="1">
      <alignment/>
    </xf>
    <xf numFmtId="181" fontId="26" fillId="0" borderId="0" xfId="0" applyNumberFormat="1" applyAlignment="1">
      <alignment/>
    </xf>
    <xf numFmtId="0" fontId="81" fillId="0" borderId="25" xfId="0" applyFont="1" applyBorder="1" applyAlignment="1">
      <alignment vertical="center" wrapText="1"/>
    </xf>
    <xf numFmtId="0" fontId="43" fillId="20" borderId="10" xfId="0" applyFont="1" applyFill="1" applyBorder="1" applyAlignment="1">
      <alignment horizontal="center" vertical="center"/>
    </xf>
    <xf numFmtId="0" fontId="26" fillId="0" borderId="0" xfId="0" applyFont="1" applyAlignment="1">
      <alignment/>
    </xf>
    <xf numFmtId="0" fontId="86" fillId="0" borderId="0" xfId="0" applyFont="1" applyAlignment="1">
      <alignment/>
    </xf>
    <xf numFmtId="0" fontId="8" fillId="0" borderId="0" xfId="0" applyFont="1" applyFill="1" applyBorder="1" applyAlignment="1">
      <alignment horizontal="left"/>
    </xf>
    <xf numFmtId="0" fontId="8" fillId="0" borderId="0" xfId="0" applyFont="1" applyFill="1" applyAlignment="1">
      <alignment/>
    </xf>
    <xf numFmtId="0" fontId="36" fillId="0" borderId="0" xfId="0" applyFont="1" applyFill="1" applyAlignment="1">
      <alignment horizontal="left"/>
    </xf>
    <xf numFmtId="0" fontId="38" fillId="0" borderId="0" xfId="0" applyFont="1" applyFill="1" applyBorder="1" applyAlignment="1">
      <alignment horizontal="left"/>
    </xf>
    <xf numFmtId="0" fontId="87" fillId="0" borderId="0" xfId="0" applyFont="1" applyAlignment="1">
      <alignment horizontal="left"/>
    </xf>
    <xf numFmtId="0" fontId="35" fillId="0" borderId="13" xfId="0" applyFont="1" applyBorder="1" applyAlignment="1">
      <alignment horizontal="center" vertical="center" wrapText="1"/>
    </xf>
    <xf numFmtId="0" fontId="8" fillId="0" borderId="10" xfId="0" applyFont="1" applyBorder="1" applyAlignment="1">
      <alignment horizontal="center" wrapText="1"/>
    </xf>
    <xf numFmtId="0" fontId="36" fillId="0" borderId="19" xfId="0" applyFont="1" applyBorder="1" applyAlignment="1">
      <alignment/>
    </xf>
    <xf numFmtId="0" fontId="8" fillId="0" borderId="19" xfId="0" applyFont="1" applyFill="1" applyBorder="1" applyAlignment="1">
      <alignment wrapText="1"/>
    </xf>
    <xf numFmtId="0" fontId="8" fillId="0" borderId="24" xfId="0" applyFont="1" applyFill="1" applyBorder="1" applyAlignment="1">
      <alignment wrapText="1"/>
    </xf>
    <xf numFmtId="0" fontId="36" fillId="0" borderId="19" xfId="0" applyFont="1" applyFill="1" applyBorder="1" applyAlignment="1">
      <alignment wrapText="1"/>
    </xf>
    <xf numFmtId="2" fontId="36" fillId="0" borderId="19" xfId="0" applyNumberFormat="1" applyFont="1" applyFill="1" applyBorder="1" applyAlignment="1">
      <alignment wrapText="1"/>
    </xf>
    <xf numFmtId="2" fontId="37" fillId="0" borderId="19" xfId="0" applyNumberFormat="1" applyFont="1" applyFill="1" applyBorder="1" applyAlignment="1">
      <alignment wrapText="1"/>
    </xf>
    <xf numFmtId="2" fontId="37" fillId="0" borderId="19" xfId="0" applyNumberFormat="1" applyFont="1" applyBorder="1" applyAlignment="1">
      <alignment/>
    </xf>
    <xf numFmtId="0" fontId="36" fillId="0" borderId="10" xfId="0" applyFont="1" applyBorder="1" applyAlignment="1">
      <alignment wrapText="1"/>
    </xf>
    <xf numFmtId="2" fontId="36" fillId="0" borderId="10" xfId="0" applyNumberFormat="1" applyFont="1" applyFill="1" applyBorder="1" applyAlignment="1">
      <alignment wrapText="1"/>
    </xf>
    <xf numFmtId="2" fontId="36" fillId="0" borderId="18" xfId="0" applyNumberFormat="1" applyFont="1" applyFill="1" applyBorder="1" applyAlignment="1">
      <alignment wrapText="1"/>
    </xf>
    <xf numFmtId="2" fontId="37" fillId="0" borderId="10" xfId="0" applyNumberFormat="1" applyFont="1" applyFill="1" applyBorder="1" applyAlignment="1">
      <alignment wrapText="1"/>
    </xf>
    <xf numFmtId="2" fontId="37" fillId="0" borderId="10" xfId="0" applyNumberFormat="1" applyFont="1" applyBorder="1" applyAlignment="1">
      <alignment/>
    </xf>
    <xf numFmtId="0" fontId="8" fillId="0" borderId="10" xfId="0" applyFont="1" applyBorder="1" applyAlignment="1">
      <alignment wrapText="1"/>
    </xf>
    <xf numFmtId="0" fontId="8" fillId="0" borderId="10" xfId="0" applyFont="1" applyBorder="1" applyAlignment="1">
      <alignment horizontal="center"/>
    </xf>
    <xf numFmtId="0" fontId="8" fillId="0" borderId="10" xfId="0" applyFont="1" applyBorder="1" applyAlignment="1">
      <alignment/>
    </xf>
    <xf numFmtId="2" fontId="36" fillId="0" borderId="10" xfId="0" applyNumberFormat="1" applyFont="1" applyFill="1" applyBorder="1" applyAlignment="1">
      <alignment/>
    </xf>
    <xf numFmtId="2" fontId="36" fillId="0" borderId="18" xfId="0" applyNumberFormat="1" applyFont="1" applyFill="1" applyBorder="1" applyAlignment="1">
      <alignment/>
    </xf>
    <xf numFmtId="2" fontId="37" fillId="0" borderId="10" xfId="0" applyNumberFormat="1" applyFont="1" applyFill="1" applyBorder="1" applyAlignment="1">
      <alignment/>
    </xf>
    <xf numFmtId="0" fontId="8" fillId="0" borderId="11" xfId="0" applyFont="1" applyBorder="1" applyAlignment="1">
      <alignment horizontal="center"/>
    </xf>
    <xf numFmtId="0" fontId="8" fillId="0" borderId="11" xfId="0" applyFont="1" applyBorder="1" applyAlignment="1">
      <alignment wrapText="1"/>
    </xf>
    <xf numFmtId="2" fontId="36" fillId="0" borderId="11" xfId="0" applyNumberFormat="1" applyFont="1" applyFill="1" applyBorder="1" applyAlignment="1">
      <alignment/>
    </xf>
    <xf numFmtId="2" fontId="36" fillId="0" borderId="28" xfId="0" applyNumberFormat="1" applyFont="1" applyFill="1" applyBorder="1" applyAlignment="1">
      <alignment/>
    </xf>
    <xf numFmtId="2" fontId="36" fillId="0" borderId="28" xfId="0" applyNumberFormat="1" applyFont="1" applyFill="1" applyBorder="1" applyAlignment="1">
      <alignment horizontal="center"/>
    </xf>
    <xf numFmtId="2" fontId="36" fillId="0" borderId="41" xfId="0" applyNumberFormat="1" applyFont="1" applyFill="1" applyBorder="1" applyAlignment="1">
      <alignment horizontal="center"/>
    </xf>
    <xf numFmtId="2" fontId="37" fillId="0" borderId="11" xfId="0" applyNumberFormat="1" applyFont="1" applyFill="1" applyBorder="1" applyAlignment="1">
      <alignment wrapText="1"/>
    </xf>
    <xf numFmtId="2" fontId="37" fillId="0" borderId="11" xfId="0" applyNumberFormat="1" applyFont="1" applyFill="1" applyBorder="1" applyAlignment="1">
      <alignment/>
    </xf>
    <xf numFmtId="2" fontId="37" fillId="0" borderId="11" xfId="0" applyNumberFormat="1" applyFont="1" applyBorder="1" applyAlignment="1">
      <alignment/>
    </xf>
    <xf numFmtId="0" fontId="8" fillId="20" borderId="13" xfId="0" applyFont="1" applyFill="1" applyBorder="1" applyAlignment="1">
      <alignment/>
    </xf>
    <xf numFmtId="0" fontId="7" fillId="20" borderId="13" xfId="0" applyFont="1" applyFill="1" applyBorder="1" applyAlignment="1">
      <alignment/>
    </xf>
    <xf numFmtId="2" fontId="37" fillId="20" borderId="13" xfId="0" applyNumberFormat="1" applyFont="1" applyFill="1" applyBorder="1" applyAlignment="1">
      <alignment/>
    </xf>
    <xf numFmtId="2" fontId="37" fillId="20" borderId="13" xfId="0" applyNumberFormat="1" applyFont="1" applyFill="1" applyBorder="1" applyAlignment="1">
      <alignment wrapText="1"/>
    </xf>
    <xf numFmtId="182" fontId="86" fillId="0" borderId="0" xfId="0" applyNumberFormat="1" applyFont="1" applyAlignment="1">
      <alignment/>
    </xf>
    <xf numFmtId="2" fontId="86" fillId="0" borderId="0" xfId="0" applyNumberFormat="1" applyFont="1" applyAlignment="1">
      <alignment/>
    </xf>
    <xf numFmtId="181" fontId="86" fillId="0" borderId="0" xfId="0" applyNumberFormat="1" applyFont="1" applyAlignment="1">
      <alignment/>
    </xf>
    <xf numFmtId="0" fontId="86" fillId="0" borderId="0" xfId="0" applyFont="1" applyAlignment="1">
      <alignment horizontal="center" vertical="center" wrapText="1"/>
    </xf>
    <xf numFmtId="0" fontId="86" fillId="0" borderId="0" xfId="0" applyFont="1" applyAlignment="1">
      <alignment horizontal="center" vertical="center"/>
    </xf>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0" fontId="8" fillId="0" borderId="0" xfId="0" applyFont="1" applyBorder="1" applyAlignment="1">
      <alignment horizontal="center" vertical="center" wrapText="1"/>
    </xf>
    <xf numFmtId="0" fontId="8" fillId="0" borderId="42" xfId="0" applyFont="1" applyBorder="1" applyAlignment="1">
      <alignment horizontal="center" wrapText="1"/>
    </xf>
    <xf numFmtId="0" fontId="36" fillId="0" borderId="43" xfId="0" applyFont="1" applyBorder="1" applyAlignment="1">
      <alignment/>
    </xf>
    <xf numFmtId="182" fontId="36" fillId="0" borderId="19" xfId="0" applyNumberFormat="1" applyFont="1" applyFill="1" applyBorder="1" applyAlignment="1">
      <alignment/>
    </xf>
    <xf numFmtId="2" fontId="36" fillId="0" borderId="19" xfId="0" applyNumberFormat="1" applyFont="1" applyFill="1" applyBorder="1" applyAlignment="1">
      <alignment/>
    </xf>
    <xf numFmtId="2" fontId="36" fillId="0" borderId="32" xfId="0" applyNumberFormat="1" applyFont="1" applyBorder="1" applyAlignment="1">
      <alignment/>
    </xf>
    <xf numFmtId="2" fontId="8" fillId="0" borderId="0" xfId="0" applyNumberFormat="1" applyFont="1" applyBorder="1" applyAlignment="1">
      <alignment/>
    </xf>
    <xf numFmtId="0" fontId="8" fillId="0" borderId="14" xfId="0" applyFont="1" applyBorder="1" applyAlignment="1">
      <alignment horizontal="center" wrapText="1"/>
    </xf>
    <xf numFmtId="182" fontId="36" fillId="0" borderId="10" xfId="0" applyNumberFormat="1" applyFont="1" applyFill="1" applyBorder="1" applyAlignment="1">
      <alignment/>
    </xf>
    <xf numFmtId="0" fontId="8" fillId="0" borderId="44" xfId="0" applyFont="1" applyBorder="1" applyAlignment="1">
      <alignment horizontal="center" wrapText="1"/>
    </xf>
    <xf numFmtId="0" fontId="8" fillId="0" borderId="45" xfId="0" applyFont="1" applyBorder="1" applyAlignment="1">
      <alignment horizontal="center" vertical="top" wrapText="1"/>
    </xf>
    <xf numFmtId="182" fontId="37" fillId="0" borderId="11" xfId="0" applyNumberFormat="1" applyFont="1" applyFill="1" applyBorder="1" applyAlignment="1">
      <alignment/>
    </xf>
    <xf numFmtId="2" fontId="37" fillId="0" borderId="33" xfId="0" applyNumberFormat="1" applyFont="1" applyBorder="1" applyAlignment="1">
      <alignment/>
    </xf>
    <xf numFmtId="0" fontId="7" fillId="0" borderId="23" xfId="0" applyFont="1" applyBorder="1" applyAlignment="1">
      <alignment horizontal="center" vertical="top" wrapText="1"/>
    </xf>
    <xf numFmtId="0" fontId="37" fillId="0" borderId="46" xfId="0" applyFont="1" applyBorder="1" applyAlignment="1">
      <alignment/>
    </xf>
    <xf numFmtId="182" fontId="37" fillId="0" borderId="47" xfId="0" applyNumberFormat="1" applyFont="1" applyFill="1" applyBorder="1" applyAlignment="1">
      <alignment/>
    </xf>
    <xf numFmtId="2" fontId="37" fillId="0" borderId="47" xfId="0" applyNumberFormat="1" applyFont="1" applyFill="1" applyBorder="1" applyAlignment="1">
      <alignment/>
    </xf>
    <xf numFmtId="2" fontId="37" fillId="0" borderId="48" xfId="0" applyNumberFormat="1" applyFont="1" applyBorder="1" applyAlignment="1">
      <alignment/>
    </xf>
    <xf numFmtId="2" fontId="7" fillId="0" borderId="0" xfId="0" applyNumberFormat="1" applyFont="1" applyBorder="1" applyAlignment="1">
      <alignment/>
    </xf>
    <xf numFmtId="0" fontId="86" fillId="0" borderId="0" xfId="0" applyFont="1" applyBorder="1" applyAlignment="1">
      <alignment/>
    </xf>
    <xf numFmtId="0" fontId="31" fillId="0" borderId="31" xfId="0" applyNumberFormat="1" applyFont="1" applyFill="1" applyBorder="1" applyAlignment="1">
      <alignment horizontal="center" vertical="center"/>
    </xf>
    <xf numFmtId="0" fontId="31" fillId="0" borderId="30" xfId="0" applyFont="1" applyFill="1" applyBorder="1" applyAlignment="1">
      <alignment horizontal="center" vertical="center"/>
    </xf>
    <xf numFmtId="0" fontId="31" fillId="0" borderId="11" xfId="0" applyFont="1" applyBorder="1" applyAlignment="1">
      <alignment horizontal="center" vertical="center" wrapText="1"/>
    </xf>
    <xf numFmtId="0" fontId="0" fillId="0" borderId="10" xfId="0" applyBorder="1" applyAlignment="1">
      <alignment/>
    </xf>
    <xf numFmtId="0" fontId="0" fillId="0" borderId="10" xfId="0" applyFill="1" applyBorder="1" applyAlignment="1">
      <alignment/>
    </xf>
    <xf numFmtId="0" fontId="0" fillId="20" borderId="10" xfId="0" applyFill="1" applyBorder="1" applyAlignment="1">
      <alignment/>
    </xf>
    <xf numFmtId="0" fontId="0" fillId="20" borderId="10" xfId="0" applyFill="1" applyBorder="1" applyAlignment="1">
      <alignment wrapText="1"/>
    </xf>
    <xf numFmtId="0" fontId="0" fillId="20" borderId="11" xfId="0" applyFill="1" applyBorder="1" applyAlignment="1">
      <alignment/>
    </xf>
    <xf numFmtId="0" fontId="36" fillId="0" borderId="27" xfId="0" applyFont="1" applyFill="1" applyBorder="1" applyAlignment="1">
      <alignment horizontal="center" wrapText="1"/>
    </xf>
    <xf numFmtId="2" fontId="36" fillId="0" borderId="18" xfId="0" applyNumberFormat="1" applyFont="1" applyFill="1" applyBorder="1" applyAlignment="1">
      <alignment horizontal="center" wrapText="1"/>
    </xf>
    <xf numFmtId="2" fontId="36" fillId="0" borderId="17" xfId="0" applyNumberFormat="1" applyFont="1" applyFill="1" applyBorder="1" applyAlignment="1">
      <alignment horizontal="center" wrapText="1"/>
    </xf>
    <xf numFmtId="0" fontId="86" fillId="0" borderId="13" xfId="0" applyFont="1" applyBorder="1" applyAlignment="1">
      <alignment horizontal="center" vertical="center" wrapText="1"/>
    </xf>
    <xf numFmtId="0" fontId="8" fillId="0" borderId="13" xfId="0" applyFont="1" applyBorder="1" applyAlignment="1">
      <alignment horizontal="center" vertical="center"/>
    </xf>
    <xf numFmtId="0" fontId="36" fillId="0" borderId="24" xfId="0" applyFont="1" applyFill="1" applyBorder="1" applyAlignment="1">
      <alignment horizontal="center" wrapText="1"/>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46" xfId="0" applyFont="1" applyBorder="1" applyAlignment="1">
      <alignment horizontal="center" vertical="center" wrapText="1"/>
    </xf>
    <xf numFmtId="0" fontId="86" fillId="0" borderId="46" xfId="0" applyFont="1" applyBorder="1" applyAlignment="1">
      <alignment horizontal="center" vertical="center" wrapText="1"/>
    </xf>
    <xf numFmtId="0" fontId="86" fillId="0" borderId="26" xfId="0" applyFont="1" applyBorder="1" applyAlignment="1">
      <alignment horizontal="center" vertical="center" wrapText="1"/>
    </xf>
    <xf numFmtId="0" fontId="8" fillId="0" borderId="23" xfId="0" applyFont="1" applyBorder="1" applyAlignment="1">
      <alignment horizontal="center" vertical="center"/>
    </xf>
    <xf numFmtId="0" fontId="8" fillId="0" borderId="46" xfId="0" applyFont="1" applyBorder="1" applyAlignment="1">
      <alignment horizontal="center" vertical="center"/>
    </xf>
    <xf numFmtId="0" fontId="86" fillId="0" borderId="46" xfId="0" applyFont="1" applyBorder="1" applyAlignment="1">
      <alignment horizontal="center" vertical="center"/>
    </xf>
    <xf numFmtId="0" fontId="86" fillId="0" borderId="26" xfId="0" applyFont="1" applyBorder="1" applyAlignment="1">
      <alignment horizontal="center" vertical="center"/>
    </xf>
    <xf numFmtId="0" fontId="8" fillId="0" borderId="13" xfId="0" applyFont="1" applyBorder="1" applyAlignment="1">
      <alignment horizontal="center" vertical="center" wrapText="1"/>
    </xf>
    <xf numFmtId="0" fontId="32" fillId="0" borderId="21" xfId="0" applyFont="1" applyFill="1" applyBorder="1" applyAlignment="1">
      <alignment horizontal="center" vertical="center"/>
    </xf>
    <xf numFmtId="0" fontId="32" fillId="0" borderId="0" xfId="0" applyFont="1" applyAlignment="1">
      <alignment horizontal="center"/>
    </xf>
    <xf numFmtId="0" fontId="31" fillId="0" borderId="0" xfId="0" applyFont="1" applyAlignment="1">
      <alignment horizontal="center"/>
    </xf>
    <xf numFmtId="0" fontId="32" fillId="0" borderId="15"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21" xfId="0" applyFont="1" applyFill="1" applyBorder="1" applyAlignment="1">
      <alignment horizontal="center" vertical="center" wrapText="1"/>
    </xf>
    <xf numFmtId="0" fontId="32" fillId="0" borderId="31" xfId="0" applyFont="1" applyFill="1" applyBorder="1" applyAlignment="1">
      <alignment horizontal="center" vertical="center" textRotation="255"/>
    </xf>
    <xf numFmtId="0" fontId="32" fillId="0" borderId="30" xfId="0" applyFont="1" applyFill="1" applyBorder="1" applyAlignment="1">
      <alignment horizontal="center" vertical="center"/>
    </xf>
    <xf numFmtId="0" fontId="32" fillId="0" borderId="46" xfId="0" applyFont="1" applyFill="1" applyBorder="1" applyAlignment="1">
      <alignment horizontal="center" vertical="center"/>
    </xf>
    <xf numFmtId="0" fontId="32" fillId="0" borderId="26" xfId="0" applyFont="1" applyFill="1" applyBorder="1" applyAlignment="1">
      <alignment horizontal="center" vertical="center"/>
    </xf>
    <xf numFmtId="0" fontId="31" fillId="0" borderId="26" xfId="0" applyFont="1" applyBorder="1" applyAlignment="1">
      <alignment horizontal="center" vertical="center"/>
    </xf>
    <xf numFmtId="0" fontId="32" fillId="0" borderId="31" xfId="0" applyFont="1" applyFill="1" applyBorder="1" applyAlignment="1">
      <alignment horizontal="center" vertical="center"/>
    </xf>
    <xf numFmtId="0" fontId="91" fillId="0" borderId="0" xfId="0" applyFont="1" applyFill="1" applyAlignment="1">
      <alignment/>
    </xf>
    <xf numFmtId="0" fontId="72" fillId="0" borderId="0" xfId="0" applyFont="1" applyBorder="1" applyAlignment="1">
      <alignment horizontal="center" vertical="center" wrapText="1"/>
    </xf>
    <xf numFmtId="0" fontId="73" fillId="0" borderId="11" xfId="0" applyFont="1" applyBorder="1" applyAlignment="1">
      <alignment horizontal="center" vertical="center" wrapText="1"/>
    </xf>
    <xf numFmtId="0" fontId="73" fillId="0" borderId="19" xfId="0" applyFont="1" applyBorder="1" applyAlignment="1">
      <alignment horizontal="center" vertical="center" wrapText="1"/>
    </xf>
    <xf numFmtId="0" fontId="74" fillId="0" borderId="11" xfId="0" applyFont="1" applyBorder="1" applyAlignment="1">
      <alignment horizontal="center" vertical="center"/>
    </xf>
    <xf numFmtId="0" fontId="74" fillId="0" borderId="19" xfId="0" applyFont="1" applyBorder="1" applyAlignment="1">
      <alignment horizontal="center" vertical="center"/>
    </xf>
    <xf numFmtId="192" fontId="73" fillId="0" borderId="11" xfId="0" applyNumberFormat="1" applyFont="1" applyBorder="1" applyAlignment="1">
      <alignment horizontal="center" vertical="center" wrapText="1"/>
    </xf>
    <xf numFmtId="192" fontId="73" fillId="0" borderId="19" xfId="0" applyNumberFormat="1" applyFont="1" applyBorder="1" applyAlignment="1">
      <alignment horizontal="center" vertical="center" wrapText="1"/>
    </xf>
    <xf numFmtId="192" fontId="73" fillId="0" borderId="18" xfId="0" applyNumberFormat="1" applyFont="1" applyBorder="1" applyAlignment="1">
      <alignment horizontal="center" vertical="center" wrapText="1"/>
    </xf>
    <xf numFmtId="192" fontId="73" fillId="0" borderId="17"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30"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0" xfId="0" applyFont="1" applyAlignment="1">
      <alignment horizontal="center"/>
    </xf>
    <xf numFmtId="0" fontId="8" fillId="0" borderId="0" xfId="0" applyFont="1" applyAlignment="1">
      <alignment horizontal="center"/>
    </xf>
    <xf numFmtId="0" fontId="27" fillId="0" borderId="0" xfId="0" applyFont="1" applyAlignment="1">
      <alignment horizontal="center"/>
    </xf>
    <xf numFmtId="0" fontId="26" fillId="0" borderId="0" xfId="0" applyAlignment="1">
      <alignment horizontal="center"/>
    </xf>
    <xf numFmtId="0" fontId="29" fillId="0" borderId="10" xfId="0" applyFont="1" applyBorder="1" applyAlignment="1">
      <alignment horizontal="center" vertical="center" wrapText="1"/>
    </xf>
    <xf numFmtId="0" fontId="32" fillId="0" borderId="31" xfId="0" applyFont="1" applyFill="1" applyBorder="1" applyAlignment="1">
      <alignment horizontal="left" vertical="center" wrapText="1"/>
    </xf>
    <xf numFmtId="0" fontId="31" fillId="0" borderId="21" xfId="0" applyFont="1" applyBorder="1" applyAlignment="1">
      <alignment horizontal="left"/>
    </xf>
    <xf numFmtId="0" fontId="32" fillId="0" borderId="23" xfId="0" applyFont="1" applyFill="1" applyBorder="1" applyAlignment="1">
      <alignment horizontal="center" vertical="center"/>
    </xf>
    <xf numFmtId="0" fontId="31" fillId="0" borderId="26" xfId="0" applyFont="1" applyFill="1" applyBorder="1" applyAlignment="1">
      <alignment horizontal="center" vertical="center"/>
    </xf>
    <xf numFmtId="0" fontId="32" fillId="0" borderId="31" xfId="0" applyNumberFormat="1" applyFont="1" applyFill="1" applyBorder="1" applyAlignment="1">
      <alignment horizontal="center" vertical="center" wrapText="1"/>
    </xf>
    <xf numFmtId="0" fontId="32" fillId="0" borderId="30" xfId="0" applyNumberFormat="1" applyFont="1" applyFill="1" applyBorder="1" applyAlignment="1">
      <alignment horizontal="center" vertical="center" wrapText="1"/>
    </xf>
    <xf numFmtId="0" fontId="31" fillId="0" borderId="21" xfId="0" applyFont="1" applyBorder="1" applyAlignment="1">
      <alignment horizontal="left" vertical="center"/>
    </xf>
    <xf numFmtId="0" fontId="32" fillId="0" borderId="0" xfId="0" applyFont="1" applyFill="1" applyAlignment="1">
      <alignment horizontal="left"/>
    </xf>
    <xf numFmtId="0" fontId="31" fillId="0" borderId="0" xfId="0" applyFont="1" applyAlignment="1">
      <alignment horizontal="left"/>
    </xf>
    <xf numFmtId="0" fontId="32" fillId="0" borderId="40" xfId="0" applyFont="1" applyFill="1" applyBorder="1" applyAlignment="1">
      <alignment horizontal="left" vertical="center" wrapText="1"/>
    </xf>
    <xf numFmtId="0" fontId="32" fillId="0" borderId="22" xfId="0" applyFont="1" applyFill="1" applyBorder="1" applyAlignment="1">
      <alignment horizontal="left" vertical="center"/>
    </xf>
    <xf numFmtId="0" fontId="32" fillId="0" borderId="31" xfId="0" applyFont="1" applyFill="1" applyBorder="1" applyAlignment="1">
      <alignment horizontal="center" vertical="center" wrapText="1"/>
    </xf>
    <xf numFmtId="0" fontId="32" fillId="0" borderId="30" xfId="0" applyFont="1" applyFill="1" applyBorder="1" applyAlignment="1">
      <alignment horizontal="center" vertical="center" wrapText="1"/>
    </xf>
    <xf numFmtId="2" fontId="36" fillId="0" borderId="18" xfId="0" applyNumberFormat="1" applyFont="1" applyFill="1" applyBorder="1" applyAlignment="1">
      <alignment horizontal="center"/>
    </xf>
    <xf numFmtId="2" fontId="36" fillId="0" borderId="17" xfId="0" applyNumberFormat="1" applyFont="1" applyFill="1" applyBorder="1" applyAlignment="1">
      <alignment horizontal="center"/>
    </xf>
    <xf numFmtId="2" fontId="37" fillId="20" borderId="13" xfId="0" applyNumberFormat="1" applyFont="1" applyFill="1" applyBorder="1" applyAlignment="1">
      <alignment horizontal="center"/>
    </xf>
    <xf numFmtId="0" fontId="90" fillId="0" borderId="13" xfId="0" applyFont="1" applyBorder="1" applyAlignment="1">
      <alignment horizontal="center" vertical="center" textRotation="90"/>
    </xf>
    <xf numFmtId="0" fontId="35" fillId="0" borderId="13" xfId="0" applyFont="1" applyBorder="1" applyAlignment="1">
      <alignment horizontal="center" vertical="center" wrapText="1"/>
    </xf>
    <xf numFmtId="0" fontId="35" fillId="0" borderId="13" xfId="0" applyFont="1" applyFill="1" applyBorder="1" applyAlignment="1">
      <alignment horizontal="center" vertical="center" wrapText="1"/>
    </xf>
    <xf numFmtId="0" fontId="88" fillId="0" borderId="0" xfId="0" applyFont="1" applyBorder="1" applyAlignment="1">
      <alignment horizontal="center" vertical="center" wrapText="1"/>
    </xf>
    <xf numFmtId="0" fontId="89" fillId="0" borderId="52" xfId="0" applyFont="1" applyBorder="1" applyAlignment="1">
      <alignment horizontal="right" vertical="center" wrapText="1"/>
    </xf>
    <xf numFmtId="0" fontId="35" fillId="0" borderId="31" xfId="0" applyFont="1" applyBorder="1" applyAlignment="1">
      <alignment horizontal="center" vertical="center" textRotation="90" wrapText="1"/>
    </xf>
    <xf numFmtId="0" fontId="35" fillId="0" borderId="30" xfId="0" applyFont="1" applyBorder="1" applyAlignment="1">
      <alignment horizontal="center" vertical="center" textRotation="90" wrapText="1"/>
    </xf>
    <xf numFmtId="0" fontId="35" fillId="0" borderId="53" xfId="0" applyFont="1" applyBorder="1" applyAlignment="1">
      <alignment horizontal="center" vertical="center" textRotation="90" wrapText="1"/>
    </xf>
    <xf numFmtId="0" fontId="36" fillId="0" borderId="13" xfId="0" applyFont="1" applyBorder="1" applyAlignment="1">
      <alignment horizontal="center" vertical="center" wrapText="1"/>
    </xf>
    <xf numFmtId="2" fontId="53" fillId="0" borderId="10" xfId="0" applyNumberFormat="1" applyFont="1" applyBorder="1" applyAlignment="1">
      <alignment horizontal="center"/>
    </xf>
    <xf numFmtId="181" fontId="53" fillId="0" borderId="10" xfId="0" applyNumberFormat="1" applyFont="1" applyBorder="1" applyAlignment="1">
      <alignment horizontal="center"/>
    </xf>
    <xf numFmtId="181" fontId="56" fillId="0" borderId="10" xfId="0" applyNumberFormat="1" applyFont="1" applyBorder="1" applyAlignment="1">
      <alignment horizontal="center"/>
    </xf>
    <xf numFmtId="181" fontId="56" fillId="0" borderId="11" xfId="0" applyNumberFormat="1" applyFont="1" applyFill="1" applyBorder="1" applyAlignment="1">
      <alignment horizontal="center"/>
    </xf>
    <xf numFmtId="181" fontId="56" fillId="0" borderId="12" xfId="0" applyNumberFormat="1" applyFont="1" applyFill="1" applyBorder="1" applyAlignment="1">
      <alignment horizontal="center"/>
    </xf>
    <xf numFmtId="181" fontId="56" fillId="0" borderId="19" xfId="0" applyNumberFormat="1" applyFont="1" applyFill="1" applyBorder="1" applyAlignment="1">
      <alignment horizontal="center"/>
    </xf>
    <xf numFmtId="49" fontId="56" fillId="0" borderId="10" xfId="0" applyNumberFormat="1" applyFont="1" applyBorder="1" applyAlignment="1">
      <alignment horizontal="center" wrapText="1"/>
    </xf>
    <xf numFmtId="0" fontId="53" fillId="0" borderId="10" xfId="0" applyNumberFormat="1" applyFont="1" applyFill="1" applyBorder="1" applyAlignment="1">
      <alignment vertical="center" wrapText="1"/>
    </xf>
    <xf numFmtId="181" fontId="56" fillId="0" borderId="10" xfId="0" applyNumberFormat="1" applyFont="1" applyFill="1" applyBorder="1" applyAlignment="1">
      <alignment horizontal="center"/>
    </xf>
    <xf numFmtId="189" fontId="54" fillId="0" borderId="11" xfId="0" applyNumberFormat="1" applyFont="1" applyBorder="1" applyAlignment="1">
      <alignment horizontal="right"/>
    </xf>
    <xf numFmtId="189" fontId="54" fillId="0" borderId="12" xfId="0" applyNumberFormat="1" applyFont="1" applyBorder="1" applyAlignment="1">
      <alignment horizontal="right"/>
    </xf>
    <xf numFmtId="189" fontId="54" fillId="0" borderId="19" xfId="0" applyNumberFormat="1" applyFont="1" applyBorder="1" applyAlignment="1">
      <alignment horizontal="right"/>
    </xf>
    <xf numFmtId="2" fontId="54" fillId="0" borderId="11" xfId="0" applyNumberFormat="1" applyFont="1" applyBorder="1" applyAlignment="1">
      <alignment horizontal="center"/>
    </xf>
    <xf numFmtId="2" fontId="54" fillId="0" borderId="12" xfId="0" applyNumberFormat="1" applyFont="1" applyBorder="1" applyAlignment="1">
      <alignment horizontal="center"/>
    </xf>
    <xf numFmtId="2" fontId="54" fillId="0" borderId="19" xfId="0" applyNumberFormat="1" applyFont="1" applyBorder="1" applyAlignment="1">
      <alignment horizontal="center"/>
    </xf>
    <xf numFmtId="2" fontId="54" fillId="0" borderId="11" xfId="0" applyNumberFormat="1" applyFont="1" applyBorder="1" applyAlignment="1">
      <alignment horizontal="right"/>
    </xf>
    <xf numFmtId="2" fontId="54" fillId="0" borderId="19" xfId="0" applyNumberFormat="1" applyFont="1" applyBorder="1" applyAlignment="1">
      <alignment horizontal="right"/>
    </xf>
    <xf numFmtId="2" fontId="54" fillId="0" borderId="11" xfId="0" applyNumberFormat="1" applyFont="1" applyBorder="1" applyAlignment="1">
      <alignment horizontal="right"/>
    </xf>
    <xf numFmtId="2" fontId="54" fillId="0" borderId="19" xfId="0" applyNumberFormat="1" applyFont="1" applyBorder="1" applyAlignment="1">
      <alignment horizontal="right"/>
    </xf>
    <xf numFmtId="2" fontId="54" fillId="0" borderId="10" xfId="0" applyNumberFormat="1" applyFont="1" applyBorder="1" applyAlignment="1">
      <alignment horizontal="right"/>
    </xf>
    <xf numFmtId="2" fontId="54" fillId="0" borderId="41" xfId="0" applyNumberFormat="1" applyFont="1" applyBorder="1" applyAlignment="1">
      <alignment horizontal="center"/>
    </xf>
    <xf numFmtId="2" fontId="54" fillId="0" borderId="54" xfId="0" applyNumberFormat="1" applyFont="1" applyBorder="1" applyAlignment="1">
      <alignment horizontal="center"/>
    </xf>
    <xf numFmtId="0" fontId="56" fillId="0" borderId="10" xfId="0" applyFont="1" applyFill="1" applyBorder="1" applyAlignment="1">
      <alignment horizontal="center" vertical="center" wrapText="1"/>
    </xf>
    <xf numFmtId="189" fontId="56" fillId="0" borderId="11" xfId="0" applyNumberFormat="1" applyFont="1" applyFill="1" applyBorder="1" applyAlignment="1">
      <alignment horizontal="center" vertical="center" wrapText="1"/>
    </xf>
    <xf numFmtId="189" fontId="56" fillId="0" borderId="12" xfId="0" applyNumberFormat="1" applyFont="1" applyFill="1" applyBorder="1" applyAlignment="1">
      <alignment horizontal="center" vertical="center" wrapText="1"/>
    </xf>
    <xf numFmtId="189" fontId="56" fillId="0" borderId="19" xfId="0" applyNumberFormat="1" applyFont="1" applyFill="1" applyBorder="1" applyAlignment="1">
      <alignment horizontal="center" vertical="center" wrapText="1"/>
    </xf>
    <xf numFmtId="0" fontId="56" fillId="0" borderId="18" xfId="0" applyFont="1" applyBorder="1" applyAlignment="1">
      <alignment horizontal="center" vertical="center"/>
    </xf>
    <xf numFmtId="0" fontId="56" fillId="0" borderId="36" xfId="0" applyFont="1" applyBorder="1" applyAlignment="1">
      <alignment horizontal="center" vertical="center"/>
    </xf>
    <xf numFmtId="0" fontId="56" fillId="0" borderId="17" xfId="0" applyFont="1" applyBorder="1" applyAlignment="1">
      <alignment horizontal="center" vertical="center"/>
    </xf>
    <xf numFmtId="0" fontId="54" fillId="0" borderId="10" xfId="0" applyFont="1" applyBorder="1" applyAlignment="1">
      <alignment horizontal="center" wrapText="1"/>
    </xf>
    <xf numFmtId="0" fontId="56" fillId="0" borderId="55" xfId="0" applyFont="1" applyBorder="1" applyAlignment="1">
      <alignment horizontal="center" vertical="center" wrapText="1"/>
    </xf>
    <xf numFmtId="0" fontId="56" fillId="0" borderId="56" xfId="0" applyFont="1" applyBorder="1" applyAlignment="1">
      <alignment horizontal="center" vertical="center" wrapText="1"/>
    </xf>
    <xf numFmtId="0" fontId="56" fillId="0" borderId="57" xfId="0" applyFont="1" applyBorder="1" applyAlignment="1">
      <alignment horizontal="center" vertical="center" wrapText="1"/>
    </xf>
    <xf numFmtId="0" fontId="56" fillId="0" borderId="30"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30"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54" xfId="0" applyFont="1" applyFill="1" applyBorder="1" applyAlignment="1">
      <alignment horizontal="center" vertical="center" wrapText="1"/>
    </xf>
    <xf numFmtId="0" fontId="56" fillId="0" borderId="40" xfId="0" applyFont="1" applyFill="1" applyBorder="1" applyAlignment="1">
      <alignment horizontal="center" vertical="center" wrapText="1"/>
    </xf>
    <xf numFmtId="0" fontId="56" fillId="0" borderId="22" xfId="0" applyFont="1" applyFill="1" applyBorder="1" applyAlignment="1">
      <alignment horizontal="center" vertical="center" wrapText="1"/>
    </xf>
    <xf numFmtId="0" fontId="51" fillId="0" borderId="0" xfId="0" applyFont="1" applyAlignment="1">
      <alignment horizontal="center" vertical="center"/>
    </xf>
    <xf numFmtId="0" fontId="56" fillId="0" borderId="31" xfId="0" applyFont="1" applyBorder="1" applyAlignment="1">
      <alignment horizontal="center" vertical="center"/>
    </xf>
    <xf numFmtId="0" fontId="56" fillId="0" borderId="30" xfId="0" applyFont="1" applyBorder="1" applyAlignment="1">
      <alignment horizontal="center" vertical="center"/>
    </xf>
    <xf numFmtId="0" fontId="56" fillId="0" borderId="21" xfId="0" applyFont="1" applyBorder="1" applyAlignment="1">
      <alignment horizontal="center" vertical="center"/>
    </xf>
    <xf numFmtId="0" fontId="56" fillId="0" borderId="39" xfId="0" applyFont="1" applyBorder="1" applyAlignment="1">
      <alignment horizontal="center" vertical="center"/>
    </xf>
    <xf numFmtId="0" fontId="43" fillId="0" borderId="0" xfId="0" applyFont="1" applyFill="1" applyAlignment="1">
      <alignment horizontal="center"/>
    </xf>
    <xf numFmtId="0" fontId="48" fillId="0" borderId="0" xfId="0" applyFont="1" applyFill="1" applyAlignment="1">
      <alignment horizontal="center"/>
    </xf>
    <xf numFmtId="0" fontId="46" fillId="0" borderId="0" xfId="0" applyFont="1" applyFill="1" applyAlignment="1">
      <alignment/>
    </xf>
    <xf numFmtId="0" fontId="43" fillId="0" borderId="10" xfId="0" applyFont="1" applyFill="1" applyBorder="1" applyAlignment="1">
      <alignment horizontal="center" vertical="center"/>
    </xf>
    <xf numFmtId="0" fontId="43" fillId="0" borderId="10" xfId="0" applyFont="1" applyFill="1" applyBorder="1" applyAlignment="1">
      <alignment horizontal="center"/>
    </xf>
    <xf numFmtId="0" fontId="40" fillId="0" borderId="0" xfId="0" applyFont="1" applyAlignment="1">
      <alignment horizontal="center"/>
    </xf>
    <xf numFmtId="0" fontId="40" fillId="0" borderId="0" xfId="0" applyFont="1" applyAlignment="1">
      <alignment horizontal="center" vertical="top"/>
    </xf>
    <xf numFmtId="0" fontId="43" fillId="0" borderId="10" xfId="0" applyFont="1" applyBorder="1" applyAlignment="1">
      <alignment horizontal="center" vertical="center" wrapText="1"/>
    </xf>
    <xf numFmtId="189" fontId="43" fillId="0" borderId="10" xfId="0" applyNumberFormat="1" applyFont="1" applyBorder="1" applyAlignment="1">
      <alignment horizontal="center" vertical="center" wrapText="1"/>
    </xf>
    <xf numFmtId="189" fontId="65" fillId="0" borderId="0" xfId="0" applyNumberFormat="1" applyFont="1" applyAlignment="1">
      <alignment horizontal="center"/>
    </xf>
    <xf numFmtId="2" fontId="53"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xf>
    <xf numFmtId="0" fontId="53" fillId="0" borderId="10" xfId="0" applyFont="1" applyFill="1" applyBorder="1" applyAlignment="1">
      <alignment horizontal="center" vertical="center" wrapText="1"/>
    </xf>
    <xf numFmtId="0" fontId="53" fillId="0" borderId="10" xfId="0" applyFont="1" applyBorder="1" applyAlignment="1">
      <alignment horizontal="center" vertical="center" wrapText="1"/>
    </xf>
    <xf numFmtId="0" fontId="53" fillId="0" borderId="11" xfId="0" applyFont="1" applyFill="1" applyBorder="1" applyAlignment="1">
      <alignment horizontal="center" vertical="center" wrapText="1"/>
    </xf>
    <xf numFmtId="0" fontId="53" fillId="0" borderId="19" xfId="0" applyFont="1" applyFill="1" applyBorder="1" applyAlignment="1">
      <alignment horizontal="center" vertical="center" wrapText="1"/>
    </xf>
    <xf numFmtId="2" fontId="53" fillId="0" borderId="10" xfId="0" applyNumberFormat="1" applyFont="1" applyBorder="1" applyAlignment="1">
      <alignment horizontal="center" vertical="center" wrapText="1"/>
    </xf>
    <xf numFmtId="0" fontId="53" fillId="0" borderId="12" xfId="0" applyFont="1" applyFill="1" applyBorder="1" applyAlignment="1">
      <alignment horizontal="center" vertical="center" wrapText="1"/>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9" xfId="0" applyFont="1" applyBorder="1" applyAlignment="1">
      <alignment horizontal="center" vertical="center" wrapText="1"/>
    </xf>
    <xf numFmtId="0" fontId="56" fillId="0" borderId="0" xfId="0" applyFont="1" applyAlignment="1">
      <alignment horizontal="center"/>
    </xf>
    <xf numFmtId="0" fontId="53" fillId="0" borderId="0" xfId="0" applyFont="1" applyAlignment="1">
      <alignment horizontal="center"/>
    </xf>
    <xf numFmtId="0" fontId="56" fillId="0" borderId="13" xfId="0" applyFont="1" applyBorder="1" applyAlignment="1">
      <alignment horizontal="center" vertical="center"/>
    </xf>
    <xf numFmtId="0" fontId="77" fillId="0" borderId="0" xfId="0" applyFont="1" applyAlignment="1">
      <alignment horizontal="center"/>
    </xf>
    <xf numFmtId="0" fontId="77" fillId="0" borderId="0" xfId="0" applyFont="1" applyAlignment="1">
      <alignment horizontal="center" vertical="top" wrapText="1"/>
    </xf>
    <xf numFmtId="0" fontId="78" fillId="0" borderId="0" xfId="0" applyFont="1" applyBorder="1" applyAlignment="1">
      <alignment horizontal="right"/>
    </xf>
    <xf numFmtId="0" fontId="92" fillId="0" borderId="0" xfId="0" applyFont="1" applyAlignment="1">
      <alignment/>
    </xf>
    <xf numFmtId="0" fontId="91" fillId="0" borderId="0" xfId="0" applyFont="1" applyAlignment="1">
      <alignment/>
    </xf>
    <xf numFmtId="0" fontId="93" fillId="0" borderId="0" xfId="0" applyFont="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59</xdr:row>
      <xdr:rowOff>0</xdr:rowOff>
    </xdr:from>
    <xdr:to>
      <xdr:col>0</xdr:col>
      <xdr:colOff>152400</xdr:colOff>
      <xdr:row>59</xdr:row>
      <xdr:rowOff>152400</xdr:rowOff>
    </xdr:to>
    <xdr:pic>
      <xdr:nvPicPr>
        <xdr:cNvPr id="1" name="Picture 1"/>
        <xdr:cNvPicPr preferRelativeResize="1">
          <a:picLocks noChangeAspect="1"/>
        </xdr:cNvPicPr>
      </xdr:nvPicPr>
      <xdr:blipFill>
        <a:blip r:embed="rId1"/>
        <a:stretch>
          <a:fillRect/>
        </a:stretch>
      </xdr:blipFill>
      <xdr:spPr>
        <a:xfrm>
          <a:off x="0" y="33394650"/>
          <a:ext cx="152400" cy="152400"/>
        </a:xfrm>
        <a:prstGeom prst="rect">
          <a:avLst/>
        </a:prstGeom>
        <a:noFill/>
        <a:ln w="1" cmpd="sng">
          <a:noFill/>
        </a:ln>
      </xdr:spPr>
    </xdr:pic>
    <xdr:clientData/>
  </xdr:twoCellAnchor>
  <xdr:twoCellAnchor editAs="oneCell">
    <xdr:from>
      <xdr:col>0</xdr:col>
      <xdr:colOff>0</xdr:colOff>
      <xdr:row>73</xdr:row>
      <xdr:rowOff>0</xdr:rowOff>
    </xdr:from>
    <xdr:to>
      <xdr:col>0</xdr:col>
      <xdr:colOff>152400</xdr:colOff>
      <xdr:row>73</xdr:row>
      <xdr:rowOff>152400</xdr:rowOff>
    </xdr:to>
    <xdr:pic>
      <xdr:nvPicPr>
        <xdr:cNvPr id="2" name="Picture 2"/>
        <xdr:cNvPicPr preferRelativeResize="1">
          <a:picLocks noChangeAspect="1"/>
        </xdr:cNvPicPr>
      </xdr:nvPicPr>
      <xdr:blipFill>
        <a:blip r:embed="rId1"/>
        <a:stretch>
          <a:fillRect/>
        </a:stretch>
      </xdr:blipFill>
      <xdr:spPr>
        <a:xfrm>
          <a:off x="0" y="41776650"/>
          <a:ext cx="152400" cy="15240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lan\work%20(D)\&#1059;&#1090;&#1086;&#1095;&#1085;&#1077;&#1085;&#1085;&#1099;&#1081;%20&#1073;&#1102;&#1076;&#1078;&#1077;&#1090;%202014%20&#1075;&#1086;&#1076;\&#1086;&#1082;&#1090;&#1103;&#1073;&#1088;&#1100;\&#1072;&#1087;&#1087;&#1072;&#1088;&#1072;&#1090;%20&#1089;&#1086;&#1074;&#1077;&#1090;&#1072;%20&#1085;&#1072;%2010.10.2014\&#1087;&#1088;&#1080;&#1083;&#1086;&#1078;&#1077;&#1085;&#1080;&#1103;%20&#1085;&#1072;%2010%20%20&#1086;&#1082;&#1090;&#1103;&#1073;&#1088;&#11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2"/>
      <sheetName val="Прил3"/>
      <sheetName val="прил4"/>
      <sheetName val="Прил7"/>
    </sheetNames>
    <sheetDataSet>
      <sheetData sheetId="0">
        <row r="199">
          <cell r="C199">
            <v>2254888690</v>
          </cell>
          <cell r="D199">
            <v>975096523.52</v>
          </cell>
          <cell r="E199">
            <v>78213275</v>
          </cell>
          <cell r="F199">
            <v>378896000</v>
          </cell>
          <cell r="G199">
            <v>89945436</v>
          </cell>
          <cell r="H199">
            <v>9288229</v>
          </cell>
          <cell r="I199">
            <v>1653483</v>
          </cell>
          <cell r="J199">
            <v>288950564</v>
          </cell>
          <cell r="K199">
            <v>260121626</v>
          </cell>
          <cell r="L199">
            <v>59472100</v>
          </cell>
          <cell r="M199">
            <v>2633784690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02"/>
  <sheetViews>
    <sheetView tabSelected="1" view="pageBreakPreview" zoomScale="75" zoomScaleSheetLayoutView="75" workbookViewId="0" topLeftCell="A1">
      <selection activeCell="A3" sqref="A3"/>
    </sheetView>
  </sheetViews>
  <sheetFormatPr defaultColWidth="9.140625" defaultRowHeight="12.75"/>
  <cols>
    <col min="1" max="1" width="99.7109375" style="403" customWidth="1"/>
    <col min="2" max="2" width="11.57421875" style="404" customWidth="1"/>
    <col min="3" max="3" width="19.28125" style="405" customWidth="1"/>
    <col min="4" max="4" width="17.28125" style="405" customWidth="1"/>
    <col min="5" max="5" width="15.8515625" style="405" customWidth="1"/>
    <col min="6" max="6" width="17.28125" style="405" customWidth="1"/>
    <col min="7" max="7" width="10.57421875" style="406" bestFit="1" customWidth="1"/>
    <col min="8" max="16384" width="9.140625" style="406" customWidth="1"/>
  </cols>
  <sheetData>
    <row r="1" spans="4:6" ht="12.75">
      <c r="D1" s="99" t="s">
        <v>506</v>
      </c>
      <c r="E1" s="99"/>
      <c r="F1" s="99"/>
    </row>
    <row r="2" spans="1:8" ht="14.25">
      <c r="A2" s="407"/>
      <c r="B2" s="408"/>
      <c r="C2" s="409"/>
      <c r="D2" s="99" t="s">
        <v>507</v>
      </c>
      <c r="E2" s="99"/>
      <c r="F2" s="99"/>
      <c r="G2" s="410"/>
      <c r="H2" s="410"/>
    </row>
    <row r="3" spans="1:8" ht="15.75">
      <c r="A3" s="407"/>
      <c r="B3" s="408"/>
      <c r="C3" s="409"/>
      <c r="D3" s="709" t="s">
        <v>116</v>
      </c>
      <c r="E3" s="485"/>
      <c r="F3" s="99"/>
      <c r="G3" s="410"/>
      <c r="H3" s="410"/>
    </row>
    <row r="4" spans="1:8" ht="15.75">
      <c r="A4" s="407"/>
      <c r="B4" s="408"/>
      <c r="C4" s="409"/>
      <c r="D4" s="12"/>
      <c r="E4" s="99"/>
      <c r="F4" s="99"/>
      <c r="G4" s="410"/>
      <c r="H4" s="410"/>
    </row>
    <row r="5" spans="1:8" ht="12.75" customHeight="1">
      <c r="A5" s="593" t="s">
        <v>508</v>
      </c>
      <c r="B5" s="593"/>
      <c r="C5" s="593"/>
      <c r="D5" s="593"/>
      <c r="E5" s="593"/>
      <c r="F5" s="593"/>
      <c r="G5" s="412"/>
      <c r="H5" s="412"/>
    </row>
    <row r="6" spans="1:6" ht="13.5" customHeight="1">
      <c r="A6" s="413"/>
      <c r="B6" s="414"/>
      <c r="C6" s="415"/>
      <c r="D6" s="415"/>
      <c r="F6" s="415" t="s">
        <v>509</v>
      </c>
    </row>
    <row r="7" spans="1:7" ht="13.5" customHeight="1">
      <c r="A7" s="594" t="s">
        <v>510</v>
      </c>
      <c r="B7" s="596" t="s">
        <v>511</v>
      </c>
      <c r="C7" s="598" t="s">
        <v>152</v>
      </c>
      <c r="D7" s="600" t="s">
        <v>154</v>
      </c>
      <c r="E7" s="601"/>
      <c r="F7" s="598" t="s">
        <v>512</v>
      </c>
      <c r="G7" s="406" t="s">
        <v>513</v>
      </c>
    </row>
    <row r="8" spans="1:6" ht="28.5" customHeight="1">
      <c r="A8" s="595"/>
      <c r="B8" s="597"/>
      <c r="C8" s="599"/>
      <c r="D8" s="416" t="s">
        <v>495</v>
      </c>
      <c r="E8" s="416" t="s">
        <v>40</v>
      </c>
      <c r="F8" s="599"/>
    </row>
    <row r="9" spans="1:6" s="420" customFormat="1" ht="12.75">
      <c r="A9" s="417" t="s">
        <v>514</v>
      </c>
      <c r="B9" s="418">
        <v>10000000</v>
      </c>
      <c r="C9" s="419">
        <f>C10+C19+C25+C31+C50+C53</f>
        <v>629408972</v>
      </c>
      <c r="D9" s="419">
        <f>D10+D19+D25+D31+D53</f>
        <v>67026680</v>
      </c>
      <c r="E9" s="419">
        <f>E10+E19+E25+E31+E53</f>
        <v>65312500</v>
      </c>
      <c r="F9" s="419">
        <f aca="true" t="shared" si="0" ref="F9:F119">C9+D9</f>
        <v>696435652</v>
      </c>
    </row>
    <row r="10" spans="1:6" s="420" customFormat="1" ht="13.5" customHeight="1">
      <c r="A10" s="417" t="s">
        <v>515</v>
      </c>
      <c r="B10" s="418">
        <v>11000000</v>
      </c>
      <c r="C10" s="419">
        <f>C11+C16</f>
        <v>427936620</v>
      </c>
      <c r="D10" s="419">
        <f>D11+D17</f>
        <v>0</v>
      </c>
      <c r="E10" s="419">
        <f>E11+E17</f>
        <v>0</v>
      </c>
      <c r="F10" s="419">
        <f t="shared" si="0"/>
        <v>427936620</v>
      </c>
    </row>
    <row r="11" spans="1:6" s="420" customFormat="1" ht="12.75">
      <c r="A11" s="417" t="s">
        <v>516</v>
      </c>
      <c r="B11" s="418">
        <v>11010000</v>
      </c>
      <c r="C11" s="419">
        <f>C12+C13+C14+C15</f>
        <v>427547120</v>
      </c>
      <c r="D11" s="419"/>
      <c r="E11" s="419"/>
      <c r="F11" s="419">
        <f t="shared" si="0"/>
        <v>427547120</v>
      </c>
    </row>
    <row r="12" spans="1:6" s="420" customFormat="1" ht="24">
      <c r="A12" s="417" t="s">
        <v>517</v>
      </c>
      <c r="B12" s="418">
        <v>11010100</v>
      </c>
      <c r="C12" s="419">
        <v>359076440</v>
      </c>
      <c r="D12" s="419"/>
      <c r="E12" s="419"/>
      <c r="F12" s="419">
        <f t="shared" si="0"/>
        <v>359076440</v>
      </c>
    </row>
    <row r="13" spans="1:6" s="420" customFormat="1" ht="24">
      <c r="A13" s="417" t="s">
        <v>943</v>
      </c>
      <c r="B13" s="418">
        <v>11010200</v>
      </c>
      <c r="C13" s="419">
        <v>42377980</v>
      </c>
      <c r="D13" s="419"/>
      <c r="E13" s="419"/>
      <c r="F13" s="419">
        <f t="shared" si="0"/>
        <v>42377980</v>
      </c>
    </row>
    <row r="14" spans="1:6" s="420" customFormat="1" ht="24">
      <c r="A14" s="417" t="s">
        <v>944</v>
      </c>
      <c r="B14" s="418">
        <v>11010400</v>
      </c>
      <c r="C14" s="419">
        <v>1962700</v>
      </c>
      <c r="D14" s="419"/>
      <c r="E14" s="419"/>
      <c r="F14" s="419">
        <f t="shared" si="0"/>
        <v>1962700</v>
      </c>
    </row>
    <row r="15" spans="1:6" s="420" customFormat="1" ht="23.25" customHeight="1">
      <c r="A15" s="417" t="s">
        <v>945</v>
      </c>
      <c r="B15" s="418">
        <v>11010500</v>
      </c>
      <c r="C15" s="419">
        <v>24130000</v>
      </c>
      <c r="D15" s="419"/>
      <c r="E15" s="419"/>
      <c r="F15" s="419">
        <f t="shared" si="0"/>
        <v>24130000</v>
      </c>
    </row>
    <row r="16" spans="1:6" s="420" customFormat="1" ht="12.75">
      <c r="A16" s="417" t="s">
        <v>946</v>
      </c>
      <c r="B16" s="418">
        <v>11020000</v>
      </c>
      <c r="C16" s="419">
        <f>C17+C18</f>
        <v>389500</v>
      </c>
      <c r="D16" s="419">
        <f>D17</f>
        <v>0</v>
      </c>
      <c r="E16" s="419">
        <f>E17</f>
        <v>0</v>
      </c>
      <c r="F16" s="419">
        <f t="shared" si="0"/>
        <v>389500</v>
      </c>
    </row>
    <row r="17" spans="1:6" s="420" customFormat="1" ht="14.25" customHeight="1">
      <c r="A17" s="417" t="s">
        <v>407</v>
      </c>
      <c r="B17" s="418">
        <v>11020200</v>
      </c>
      <c r="C17" s="419">
        <v>269800</v>
      </c>
      <c r="D17" s="419"/>
      <c r="E17" s="419"/>
      <c r="F17" s="419">
        <f t="shared" si="0"/>
        <v>269800</v>
      </c>
    </row>
    <row r="18" spans="1:6" s="420" customFormat="1" ht="25.5" customHeight="1">
      <c r="A18" s="417" t="s">
        <v>408</v>
      </c>
      <c r="B18" s="418">
        <v>11023200</v>
      </c>
      <c r="C18" s="419">
        <v>119700</v>
      </c>
      <c r="D18" s="419"/>
      <c r="E18" s="419"/>
      <c r="F18" s="419">
        <f t="shared" si="0"/>
        <v>119700</v>
      </c>
    </row>
    <row r="19" spans="1:6" s="420" customFormat="1" ht="12.75">
      <c r="A19" s="417" t="s">
        <v>409</v>
      </c>
      <c r="B19" s="418">
        <v>12000000</v>
      </c>
      <c r="C19" s="419">
        <f>C20</f>
        <v>0</v>
      </c>
      <c r="D19" s="419">
        <f>D20</f>
        <v>996740</v>
      </c>
      <c r="E19" s="419">
        <f>E20</f>
        <v>0</v>
      </c>
      <c r="F19" s="419">
        <f t="shared" si="0"/>
        <v>996740</v>
      </c>
    </row>
    <row r="20" spans="1:6" s="420" customFormat="1" ht="13.5" customHeight="1">
      <c r="A20" s="417" t="s">
        <v>410</v>
      </c>
      <c r="B20" s="418">
        <v>12030000</v>
      </c>
      <c r="C20" s="419">
        <f>C21+C22+C24+C23</f>
        <v>0</v>
      </c>
      <c r="D20" s="419">
        <f>D21+D22+D24+D23</f>
        <v>996740</v>
      </c>
      <c r="E20" s="419"/>
      <c r="F20" s="419">
        <f t="shared" si="0"/>
        <v>996740</v>
      </c>
    </row>
    <row r="21" spans="1:6" s="420" customFormat="1" ht="13.5" customHeight="1">
      <c r="A21" s="417" t="s">
        <v>411</v>
      </c>
      <c r="B21" s="418">
        <v>12030100</v>
      </c>
      <c r="C21" s="419"/>
      <c r="D21" s="419">
        <v>17100</v>
      </c>
      <c r="E21" s="419"/>
      <c r="F21" s="419">
        <f t="shared" si="0"/>
        <v>17100</v>
      </c>
    </row>
    <row r="22" spans="1:6" s="420" customFormat="1" ht="13.5" customHeight="1">
      <c r="A22" s="417" t="s">
        <v>412</v>
      </c>
      <c r="B22" s="418">
        <v>12030200</v>
      </c>
      <c r="C22" s="419"/>
      <c r="D22" s="419">
        <v>969000</v>
      </c>
      <c r="E22" s="419"/>
      <c r="F22" s="419">
        <f t="shared" si="0"/>
        <v>969000</v>
      </c>
    </row>
    <row r="23" spans="1:6" s="420" customFormat="1" ht="13.5" customHeight="1">
      <c r="A23" s="417" t="s">
        <v>413</v>
      </c>
      <c r="B23" s="418">
        <v>12030300</v>
      </c>
      <c r="C23" s="419"/>
      <c r="D23" s="419">
        <v>1140</v>
      </c>
      <c r="E23" s="419"/>
      <c r="F23" s="419">
        <f t="shared" si="0"/>
        <v>1140</v>
      </c>
    </row>
    <row r="24" spans="1:6" s="420" customFormat="1" ht="13.5" customHeight="1">
      <c r="A24" s="417" t="s">
        <v>414</v>
      </c>
      <c r="B24" s="418">
        <v>12030400</v>
      </c>
      <c r="C24" s="419"/>
      <c r="D24" s="419">
        <v>9500</v>
      </c>
      <c r="E24" s="419"/>
      <c r="F24" s="419">
        <f t="shared" si="0"/>
        <v>9500</v>
      </c>
    </row>
    <row r="25" spans="1:6" s="420" customFormat="1" ht="14.25" customHeight="1">
      <c r="A25" s="417" t="s">
        <v>415</v>
      </c>
      <c r="B25" s="418">
        <v>13000000</v>
      </c>
      <c r="C25" s="419">
        <f>C26</f>
        <v>187005600</v>
      </c>
      <c r="D25" s="419">
        <f>D26</f>
        <v>0</v>
      </c>
      <c r="E25" s="419">
        <f>E26</f>
        <v>0</v>
      </c>
      <c r="F25" s="419">
        <f t="shared" si="0"/>
        <v>187005600</v>
      </c>
    </row>
    <row r="26" spans="1:6" s="420" customFormat="1" ht="12.75">
      <c r="A26" s="417" t="s">
        <v>416</v>
      </c>
      <c r="B26" s="418">
        <v>13050000</v>
      </c>
      <c r="C26" s="419">
        <f>C27+C28+C29+C30</f>
        <v>187005600</v>
      </c>
      <c r="D26" s="419"/>
      <c r="E26" s="419"/>
      <c r="F26" s="419">
        <f t="shared" si="0"/>
        <v>187005600</v>
      </c>
    </row>
    <row r="27" spans="1:6" s="420" customFormat="1" ht="12.75">
      <c r="A27" s="417" t="s">
        <v>417</v>
      </c>
      <c r="B27" s="418">
        <v>13050100</v>
      </c>
      <c r="C27" s="419">
        <v>33820000</v>
      </c>
      <c r="D27" s="419"/>
      <c r="E27" s="419"/>
      <c r="F27" s="419">
        <f t="shared" si="0"/>
        <v>33820000</v>
      </c>
    </row>
    <row r="28" spans="1:6" s="420" customFormat="1" ht="12.75">
      <c r="A28" s="417" t="s">
        <v>418</v>
      </c>
      <c r="B28" s="418">
        <v>13050200</v>
      </c>
      <c r="C28" s="419">
        <v>121828000</v>
      </c>
      <c r="D28" s="419"/>
      <c r="E28" s="419"/>
      <c r="F28" s="419">
        <f t="shared" si="0"/>
        <v>121828000</v>
      </c>
    </row>
    <row r="29" spans="1:6" s="420" customFormat="1" ht="12.75">
      <c r="A29" s="417" t="s">
        <v>419</v>
      </c>
      <c r="B29" s="418">
        <v>13050300</v>
      </c>
      <c r="C29" s="419">
        <v>3800000</v>
      </c>
      <c r="D29" s="419"/>
      <c r="E29" s="419"/>
      <c r="F29" s="419">
        <f t="shared" si="0"/>
        <v>3800000</v>
      </c>
    </row>
    <row r="30" spans="1:6" s="420" customFormat="1" ht="12.75">
      <c r="A30" s="417" t="s">
        <v>420</v>
      </c>
      <c r="B30" s="418">
        <v>13050500</v>
      </c>
      <c r="C30" s="419">
        <v>27557600</v>
      </c>
      <c r="D30" s="419"/>
      <c r="E30" s="419"/>
      <c r="F30" s="419">
        <f t="shared" si="0"/>
        <v>27557600</v>
      </c>
    </row>
    <row r="31" spans="1:6" s="420" customFormat="1" ht="12.75">
      <c r="A31" s="417" t="s">
        <v>421</v>
      </c>
      <c r="B31" s="418">
        <v>18000000</v>
      </c>
      <c r="C31" s="419">
        <f>C35+C38+C50+C32</f>
        <v>14466752</v>
      </c>
      <c r="D31" s="419">
        <f>D35+D38+D50+D32</f>
        <v>65779900</v>
      </c>
      <c r="E31" s="419">
        <f>E35+E38+E50+E32</f>
        <v>65312500</v>
      </c>
      <c r="F31" s="419">
        <f t="shared" si="0"/>
        <v>80246652</v>
      </c>
    </row>
    <row r="32" spans="1:6" s="420" customFormat="1" ht="12.75">
      <c r="A32" s="417" t="s">
        <v>422</v>
      </c>
      <c r="B32" s="418">
        <v>18010000</v>
      </c>
      <c r="C32" s="419">
        <f>C33</f>
        <v>0</v>
      </c>
      <c r="D32" s="419">
        <f>D33+D34</f>
        <v>370500</v>
      </c>
      <c r="E32" s="419">
        <f>E33+E34</f>
        <v>370500</v>
      </c>
      <c r="F32" s="419">
        <f t="shared" si="0"/>
        <v>370500</v>
      </c>
    </row>
    <row r="33" spans="1:6" s="420" customFormat="1" ht="24.75" customHeight="1">
      <c r="A33" s="417" t="s">
        <v>423</v>
      </c>
      <c r="B33" s="418">
        <v>18010100</v>
      </c>
      <c r="C33" s="419"/>
      <c r="D33" s="419">
        <v>292600</v>
      </c>
      <c r="E33" s="419">
        <f>D33</f>
        <v>292600</v>
      </c>
      <c r="F33" s="419">
        <f t="shared" si="0"/>
        <v>292600</v>
      </c>
    </row>
    <row r="34" spans="1:6" s="420" customFormat="1" ht="24" customHeight="1">
      <c r="A34" s="417" t="s">
        <v>424</v>
      </c>
      <c r="B34" s="418">
        <v>18010200</v>
      </c>
      <c r="C34" s="419"/>
      <c r="D34" s="419">
        <v>77900</v>
      </c>
      <c r="E34" s="419">
        <f>D34</f>
        <v>77900</v>
      </c>
      <c r="F34" s="419">
        <f t="shared" si="0"/>
        <v>77900</v>
      </c>
    </row>
    <row r="35" spans="1:6" s="420" customFormat="1" ht="12.75">
      <c r="A35" s="417" t="s">
        <v>425</v>
      </c>
      <c r="B35" s="418">
        <v>18030000</v>
      </c>
      <c r="C35" s="419">
        <f>C36+C37</f>
        <v>3066600</v>
      </c>
      <c r="D35" s="419"/>
      <c r="E35" s="419"/>
      <c r="F35" s="419">
        <f t="shared" si="0"/>
        <v>3066600</v>
      </c>
    </row>
    <row r="36" spans="1:6" s="420" customFormat="1" ht="12.75">
      <c r="A36" s="417" t="s">
        <v>426</v>
      </c>
      <c r="B36" s="418">
        <v>18030100</v>
      </c>
      <c r="C36" s="419">
        <v>2109000</v>
      </c>
      <c r="D36" s="419"/>
      <c r="E36" s="419"/>
      <c r="F36" s="419">
        <f t="shared" si="0"/>
        <v>2109000</v>
      </c>
    </row>
    <row r="37" spans="1:6" s="420" customFormat="1" ht="12.75">
      <c r="A37" s="417" t="s">
        <v>427</v>
      </c>
      <c r="B37" s="418">
        <v>18030200</v>
      </c>
      <c r="C37" s="419">
        <v>957600</v>
      </c>
      <c r="D37" s="419"/>
      <c r="E37" s="419"/>
      <c r="F37" s="419">
        <f t="shared" si="0"/>
        <v>957600</v>
      </c>
    </row>
    <row r="38" spans="1:6" s="420" customFormat="1" ht="19.5" customHeight="1">
      <c r="A38" s="417" t="s">
        <v>428</v>
      </c>
      <c r="B38" s="418">
        <v>18040000</v>
      </c>
      <c r="C38" s="419">
        <f>C39+C40+C41+C42+C43+C44+C45+C46+C48+C47+C49</f>
        <v>11400152</v>
      </c>
      <c r="D38" s="419">
        <f>D39+D40+D41+D42+D43+D44+D45+D46+D48+D47</f>
        <v>467400</v>
      </c>
      <c r="E38" s="419">
        <f>E39+E40+E41+E42+E43+E44+E45+E46+E48+E47</f>
        <v>0</v>
      </c>
      <c r="F38" s="419">
        <f t="shared" si="0"/>
        <v>11867552</v>
      </c>
    </row>
    <row r="39" spans="1:6" s="420" customFormat="1" ht="23.25" customHeight="1">
      <c r="A39" s="417" t="s">
        <v>429</v>
      </c>
      <c r="B39" s="418">
        <v>18040100</v>
      </c>
      <c r="C39" s="419">
        <v>5016000</v>
      </c>
      <c r="D39" s="419"/>
      <c r="E39" s="419"/>
      <c r="F39" s="419">
        <f t="shared" si="0"/>
        <v>5016000</v>
      </c>
    </row>
    <row r="40" spans="1:6" s="420" customFormat="1" ht="23.25" customHeight="1">
      <c r="A40" s="417" t="s">
        <v>430</v>
      </c>
      <c r="B40" s="418">
        <v>18040200</v>
      </c>
      <c r="C40" s="419">
        <v>2679760</v>
      </c>
      <c r="D40" s="419"/>
      <c r="E40" s="419"/>
      <c r="F40" s="419">
        <f t="shared" si="0"/>
        <v>2679760</v>
      </c>
    </row>
    <row r="41" spans="1:6" s="420" customFormat="1" ht="12.75">
      <c r="A41" s="417" t="s">
        <v>193</v>
      </c>
      <c r="B41" s="418">
        <v>18040500</v>
      </c>
      <c r="C41" s="419">
        <v>51680</v>
      </c>
      <c r="D41" s="419"/>
      <c r="E41" s="419"/>
      <c r="F41" s="419">
        <f t="shared" si="0"/>
        <v>51680</v>
      </c>
    </row>
    <row r="42" spans="1:6" s="420" customFormat="1" ht="26.25" customHeight="1">
      <c r="A42" s="417" t="s">
        <v>57</v>
      </c>
      <c r="B42" s="418">
        <v>18040600</v>
      </c>
      <c r="C42" s="419">
        <v>1539000</v>
      </c>
      <c r="D42" s="419"/>
      <c r="E42" s="419"/>
      <c r="F42" s="419">
        <f t="shared" si="0"/>
        <v>1539000</v>
      </c>
    </row>
    <row r="43" spans="1:6" s="420" customFormat="1" ht="25.5" customHeight="1">
      <c r="A43" s="417" t="s">
        <v>58</v>
      </c>
      <c r="B43" s="418">
        <v>18040700</v>
      </c>
      <c r="C43" s="419">
        <v>456000</v>
      </c>
      <c r="D43" s="419"/>
      <c r="E43" s="419"/>
      <c r="F43" s="419">
        <f t="shared" si="0"/>
        <v>456000</v>
      </c>
    </row>
    <row r="44" spans="1:6" s="420" customFormat="1" ht="28.5" customHeight="1">
      <c r="A44" s="417" t="s">
        <v>59</v>
      </c>
      <c r="B44" s="418">
        <v>18040800</v>
      </c>
      <c r="C44" s="419">
        <v>988000</v>
      </c>
      <c r="D44" s="419"/>
      <c r="E44" s="419"/>
      <c r="F44" s="419">
        <f t="shared" si="0"/>
        <v>988000</v>
      </c>
    </row>
    <row r="45" spans="1:6" s="420" customFormat="1" ht="12.75">
      <c r="A45" s="417" t="s">
        <v>60</v>
      </c>
      <c r="B45" s="418">
        <v>18040900</v>
      </c>
      <c r="C45" s="419">
        <v>5092</v>
      </c>
      <c r="D45" s="419"/>
      <c r="E45" s="419"/>
      <c r="F45" s="419">
        <f t="shared" si="0"/>
        <v>5092</v>
      </c>
    </row>
    <row r="46" spans="1:6" s="420" customFormat="1" ht="28.5" customHeight="1">
      <c r="A46" s="417" t="s">
        <v>61</v>
      </c>
      <c r="B46" s="418">
        <v>18041400</v>
      </c>
      <c r="C46" s="419">
        <v>119700</v>
      </c>
      <c r="D46" s="419"/>
      <c r="E46" s="419"/>
      <c r="F46" s="419">
        <f t="shared" si="0"/>
        <v>119700</v>
      </c>
    </row>
    <row r="47" spans="1:6" s="420" customFormat="1" ht="24.75" customHeight="1">
      <c r="A47" s="417" t="s">
        <v>62</v>
      </c>
      <c r="B47" s="418">
        <v>18041500</v>
      </c>
      <c r="C47" s="419"/>
      <c r="D47" s="419">
        <v>467400</v>
      </c>
      <c r="E47" s="419"/>
      <c r="F47" s="419">
        <f t="shared" si="0"/>
        <v>467400</v>
      </c>
    </row>
    <row r="48" spans="1:6" s="420" customFormat="1" ht="27" customHeight="1">
      <c r="A48" s="417" t="s">
        <v>63</v>
      </c>
      <c r="B48" s="418">
        <v>18041700</v>
      </c>
      <c r="C48" s="419">
        <v>527820</v>
      </c>
      <c r="D48" s="419"/>
      <c r="E48" s="419"/>
      <c r="F48" s="419">
        <f t="shared" si="0"/>
        <v>527820</v>
      </c>
    </row>
    <row r="49" spans="1:6" s="420" customFormat="1" ht="26.25" customHeight="1">
      <c r="A49" s="417" t="s">
        <v>64</v>
      </c>
      <c r="B49" s="418">
        <v>18041800</v>
      </c>
      <c r="C49" s="419">
        <v>17100</v>
      </c>
      <c r="D49" s="419"/>
      <c r="E49" s="419"/>
      <c r="F49" s="419">
        <f t="shared" si="0"/>
        <v>17100</v>
      </c>
    </row>
    <row r="50" spans="1:6" s="420" customFormat="1" ht="13.5" customHeight="1">
      <c r="A50" s="417" t="s">
        <v>65</v>
      </c>
      <c r="B50" s="418">
        <v>18050000</v>
      </c>
      <c r="C50" s="419">
        <v>0</v>
      </c>
      <c r="D50" s="419">
        <f>D51+D52</f>
        <v>64942000</v>
      </c>
      <c r="E50" s="419">
        <f>E51+E52</f>
        <v>64942000</v>
      </c>
      <c r="F50" s="419">
        <f t="shared" si="0"/>
        <v>64942000</v>
      </c>
    </row>
    <row r="51" spans="1:6" s="420" customFormat="1" ht="13.5" customHeight="1">
      <c r="A51" s="417" t="s">
        <v>66</v>
      </c>
      <c r="B51" s="418">
        <v>18050300</v>
      </c>
      <c r="C51" s="419"/>
      <c r="D51" s="419">
        <v>20292000</v>
      </c>
      <c r="E51" s="419">
        <f>D51</f>
        <v>20292000</v>
      </c>
      <c r="F51" s="419">
        <f t="shared" si="0"/>
        <v>20292000</v>
      </c>
    </row>
    <row r="52" spans="1:6" s="420" customFormat="1" ht="13.5" customHeight="1">
      <c r="A52" s="417" t="s">
        <v>67</v>
      </c>
      <c r="B52" s="418">
        <v>18050400</v>
      </c>
      <c r="C52" s="419"/>
      <c r="D52" s="419">
        <v>44650000</v>
      </c>
      <c r="E52" s="419">
        <f>D52</f>
        <v>44650000</v>
      </c>
      <c r="F52" s="419">
        <f t="shared" si="0"/>
        <v>44650000</v>
      </c>
    </row>
    <row r="53" spans="1:6" s="420" customFormat="1" ht="15" customHeight="1">
      <c r="A53" s="417" t="s">
        <v>68</v>
      </c>
      <c r="B53" s="418">
        <v>19000000</v>
      </c>
      <c r="C53" s="419">
        <f>C54</f>
        <v>0</v>
      </c>
      <c r="D53" s="419">
        <f>D54</f>
        <v>250040</v>
      </c>
      <c r="E53" s="419"/>
      <c r="F53" s="419">
        <f t="shared" si="0"/>
        <v>250040</v>
      </c>
    </row>
    <row r="54" spans="1:6" s="420" customFormat="1" ht="14.25" customHeight="1">
      <c r="A54" s="417" t="s">
        <v>69</v>
      </c>
      <c r="B54" s="418">
        <v>19010000</v>
      </c>
      <c r="C54" s="419">
        <f>C55+C56</f>
        <v>0</v>
      </c>
      <c r="D54" s="419">
        <f>D55+D56</f>
        <v>250040</v>
      </c>
      <c r="E54" s="419"/>
      <c r="F54" s="419">
        <f t="shared" si="0"/>
        <v>250040</v>
      </c>
    </row>
    <row r="55" spans="1:6" s="420" customFormat="1" ht="26.25" customHeight="1">
      <c r="A55" s="417" t="s">
        <v>70</v>
      </c>
      <c r="B55" s="418">
        <v>19010100</v>
      </c>
      <c r="C55" s="419"/>
      <c r="D55" s="419">
        <v>157700</v>
      </c>
      <c r="E55" s="419"/>
      <c r="F55" s="419">
        <f t="shared" si="0"/>
        <v>157700</v>
      </c>
    </row>
    <row r="56" spans="1:6" s="420" customFormat="1" ht="27.75" customHeight="1">
      <c r="A56" s="417" t="s">
        <v>71</v>
      </c>
      <c r="B56" s="418">
        <v>19010300</v>
      </c>
      <c r="C56" s="419"/>
      <c r="D56" s="419">
        <v>92340</v>
      </c>
      <c r="E56" s="419"/>
      <c r="F56" s="419">
        <f t="shared" si="0"/>
        <v>92340</v>
      </c>
    </row>
    <row r="57" spans="1:6" s="420" customFormat="1" ht="12.75">
      <c r="A57" s="417" t="s">
        <v>72</v>
      </c>
      <c r="B57" s="418">
        <v>20000000</v>
      </c>
      <c r="C57" s="419">
        <f>C58+C64+C70+C75+C74</f>
        <v>12665022</v>
      </c>
      <c r="D57" s="419">
        <f>D58+D64+D70+D75+D74</f>
        <v>49782052</v>
      </c>
      <c r="E57" s="419">
        <f>E58+E64+E70+E75+E74</f>
        <v>1900000</v>
      </c>
      <c r="F57" s="419">
        <f t="shared" si="0"/>
        <v>62447074</v>
      </c>
    </row>
    <row r="58" spans="1:6" s="420" customFormat="1" ht="12.75">
      <c r="A58" s="417" t="s">
        <v>73</v>
      </c>
      <c r="B58" s="418">
        <v>21000000</v>
      </c>
      <c r="C58" s="419">
        <f>C59+C61</f>
        <v>836760</v>
      </c>
      <c r="D58" s="419">
        <f>D59+D61</f>
        <v>0</v>
      </c>
      <c r="E58" s="419">
        <f>E59+E61</f>
        <v>0</v>
      </c>
      <c r="F58" s="419">
        <f t="shared" si="0"/>
        <v>836760</v>
      </c>
    </row>
    <row r="59" spans="1:6" s="424" customFormat="1" ht="50.25" customHeight="1">
      <c r="A59" s="421" t="s">
        <v>295</v>
      </c>
      <c r="B59" s="422">
        <v>21010000</v>
      </c>
      <c r="C59" s="423">
        <f>C60</f>
        <v>190000</v>
      </c>
      <c r="D59" s="423">
        <f>D60</f>
        <v>0</v>
      </c>
      <c r="E59" s="423"/>
      <c r="F59" s="419">
        <f t="shared" si="0"/>
        <v>190000</v>
      </c>
    </row>
    <row r="60" spans="1:6" s="424" customFormat="1" ht="27" customHeight="1">
      <c r="A60" s="421" t="s">
        <v>296</v>
      </c>
      <c r="B60" s="422">
        <v>21010300</v>
      </c>
      <c r="C60" s="423">
        <v>190000</v>
      </c>
      <c r="D60" s="423"/>
      <c r="E60" s="423"/>
      <c r="F60" s="419">
        <f t="shared" si="0"/>
        <v>190000</v>
      </c>
    </row>
    <row r="61" spans="1:6" s="420" customFormat="1" ht="12.75">
      <c r="A61" s="417" t="s">
        <v>297</v>
      </c>
      <c r="B61" s="418">
        <v>21080000</v>
      </c>
      <c r="C61" s="419">
        <f>C63+C62</f>
        <v>646760</v>
      </c>
      <c r="D61" s="419">
        <f>D63+D62</f>
        <v>0</v>
      </c>
      <c r="E61" s="419">
        <f>E63+E62</f>
        <v>0</v>
      </c>
      <c r="F61" s="419">
        <f t="shared" si="0"/>
        <v>646760</v>
      </c>
    </row>
    <row r="62" spans="1:6" s="420" customFormat="1" ht="36" customHeight="1">
      <c r="A62" s="421" t="s">
        <v>359</v>
      </c>
      <c r="B62" s="418">
        <v>21080900</v>
      </c>
      <c r="C62" s="419">
        <v>107160</v>
      </c>
      <c r="D62" s="419"/>
      <c r="E62" s="419"/>
      <c r="F62" s="419">
        <f t="shared" si="0"/>
        <v>107160</v>
      </c>
    </row>
    <row r="63" spans="1:6" s="420" customFormat="1" ht="12.75">
      <c r="A63" s="417" t="s">
        <v>360</v>
      </c>
      <c r="B63" s="418">
        <v>21081100</v>
      </c>
      <c r="C63" s="419">
        <v>539600</v>
      </c>
      <c r="D63" s="419"/>
      <c r="E63" s="419"/>
      <c r="F63" s="419">
        <f t="shared" si="0"/>
        <v>539600</v>
      </c>
    </row>
    <row r="64" spans="1:6" s="420" customFormat="1" ht="15" customHeight="1">
      <c r="A64" s="417" t="s">
        <v>361</v>
      </c>
      <c r="B64" s="418">
        <v>22000000</v>
      </c>
      <c r="C64" s="419">
        <f>C65+C67</f>
        <v>9657700</v>
      </c>
      <c r="D64" s="419">
        <f>D65+D67</f>
        <v>0</v>
      </c>
      <c r="E64" s="419">
        <f>E65+E67</f>
        <v>0</v>
      </c>
      <c r="F64" s="419">
        <f t="shared" si="0"/>
        <v>9657700</v>
      </c>
    </row>
    <row r="65" spans="1:6" ht="25.5" customHeight="1">
      <c r="A65" s="417" t="s">
        <v>362</v>
      </c>
      <c r="B65" s="418">
        <v>22080000</v>
      </c>
      <c r="C65" s="419">
        <f>C66</f>
        <v>9120000</v>
      </c>
      <c r="D65" s="419">
        <f>D66</f>
        <v>0</v>
      </c>
      <c r="E65" s="419">
        <f>E66</f>
        <v>0</v>
      </c>
      <c r="F65" s="419">
        <f t="shared" si="0"/>
        <v>9120000</v>
      </c>
    </row>
    <row r="66" spans="1:6" ht="24">
      <c r="A66" s="417" t="s">
        <v>363</v>
      </c>
      <c r="B66" s="418">
        <v>22080400</v>
      </c>
      <c r="C66" s="419">
        <v>9120000</v>
      </c>
      <c r="D66" s="419"/>
      <c r="E66" s="419"/>
      <c r="F66" s="419">
        <f t="shared" si="0"/>
        <v>9120000</v>
      </c>
    </row>
    <row r="67" spans="1:6" ht="12.75">
      <c r="A67" s="417" t="s">
        <v>364</v>
      </c>
      <c r="B67" s="418">
        <v>22090000</v>
      </c>
      <c r="C67" s="419">
        <f>C68+C69</f>
        <v>537700</v>
      </c>
      <c r="D67" s="419"/>
      <c r="E67" s="419"/>
      <c r="F67" s="419">
        <f t="shared" si="0"/>
        <v>537700</v>
      </c>
    </row>
    <row r="68" spans="1:6" ht="24">
      <c r="A68" s="417" t="s">
        <v>365</v>
      </c>
      <c r="B68" s="418">
        <v>22090100</v>
      </c>
      <c r="C68" s="419">
        <v>245100</v>
      </c>
      <c r="D68" s="419"/>
      <c r="E68" s="419"/>
      <c r="F68" s="419">
        <f t="shared" si="0"/>
        <v>245100</v>
      </c>
    </row>
    <row r="69" spans="1:6" ht="24">
      <c r="A69" s="417" t="s">
        <v>366</v>
      </c>
      <c r="B69" s="418">
        <v>22090400</v>
      </c>
      <c r="C69" s="419">
        <v>292600</v>
      </c>
      <c r="D69" s="419"/>
      <c r="E69" s="419"/>
      <c r="F69" s="419">
        <f t="shared" si="0"/>
        <v>292600</v>
      </c>
    </row>
    <row r="70" spans="1:6" ht="12.75">
      <c r="A70" s="417" t="s">
        <v>367</v>
      </c>
      <c r="B70" s="418">
        <v>24000000</v>
      </c>
      <c r="C70" s="419">
        <f>C71</f>
        <v>2170562</v>
      </c>
      <c r="D70" s="423">
        <f>D71</f>
        <v>9500</v>
      </c>
      <c r="E70" s="419">
        <f>E71</f>
        <v>0</v>
      </c>
      <c r="F70" s="419">
        <f t="shared" si="0"/>
        <v>2180062</v>
      </c>
    </row>
    <row r="71" spans="1:6" ht="12.75">
      <c r="A71" s="417" t="s">
        <v>297</v>
      </c>
      <c r="B71" s="418">
        <v>24060000</v>
      </c>
      <c r="C71" s="419">
        <f>C72+C73</f>
        <v>2170562</v>
      </c>
      <c r="D71" s="419">
        <f>D72+D73</f>
        <v>9500</v>
      </c>
      <c r="E71" s="419">
        <f>E72+E73</f>
        <v>0</v>
      </c>
      <c r="F71" s="419">
        <f t="shared" si="0"/>
        <v>2180062</v>
      </c>
    </row>
    <row r="72" spans="1:6" ht="12.75">
      <c r="A72" s="417" t="s">
        <v>297</v>
      </c>
      <c r="B72" s="418">
        <v>24060300</v>
      </c>
      <c r="C72" s="419">
        <v>2170562</v>
      </c>
      <c r="D72" s="419"/>
      <c r="E72" s="419"/>
      <c r="F72" s="419">
        <f t="shared" si="0"/>
        <v>2170562</v>
      </c>
    </row>
    <row r="73" spans="1:6" s="420" customFormat="1" ht="25.5" customHeight="1">
      <c r="A73" s="417" t="s">
        <v>368</v>
      </c>
      <c r="B73" s="418">
        <v>24062100</v>
      </c>
      <c r="C73" s="419">
        <v>0</v>
      </c>
      <c r="D73" s="419">
        <v>9500</v>
      </c>
      <c r="E73" s="419"/>
      <c r="F73" s="419">
        <f t="shared" si="0"/>
        <v>9500</v>
      </c>
    </row>
    <row r="74" spans="1:6" s="420" customFormat="1" ht="15.75" customHeight="1">
      <c r="A74" s="417" t="s">
        <v>369</v>
      </c>
      <c r="B74" s="418">
        <v>24170000</v>
      </c>
      <c r="C74" s="419"/>
      <c r="D74" s="419">
        <v>1900000</v>
      </c>
      <c r="E74" s="419">
        <f>D74</f>
        <v>1900000</v>
      </c>
      <c r="F74" s="419">
        <f t="shared" si="0"/>
        <v>1900000</v>
      </c>
    </row>
    <row r="75" spans="1:6" s="420" customFormat="1" ht="12.75">
      <c r="A75" s="417" t="s">
        <v>370</v>
      </c>
      <c r="B75" s="418">
        <v>25000000</v>
      </c>
      <c r="C75" s="419">
        <f>C76</f>
        <v>0</v>
      </c>
      <c r="D75" s="419">
        <f>D76</f>
        <v>47872552</v>
      </c>
      <c r="E75" s="419"/>
      <c r="F75" s="419">
        <f t="shared" si="0"/>
        <v>47872552</v>
      </c>
    </row>
    <row r="76" spans="1:6" s="420" customFormat="1" ht="25.5" customHeight="1">
      <c r="A76" s="417" t="s">
        <v>371</v>
      </c>
      <c r="B76" s="418">
        <v>25010000</v>
      </c>
      <c r="C76" s="419">
        <v>0</v>
      </c>
      <c r="D76" s="423">
        <f>D77+D78+D79+D80</f>
        <v>47872552</v>
      </c>
      <c r="E76" s="419"/>
      <c r="F76" s="419">
        <f t="shared" si="0"/>
        <v>47872552</v>
      </c>
    </row>
    <row r="77" spans="1:6" s="420" customFormat="1" ht="24.75" customHeight="1">
      <c r="A77" s="417" t="s">
        <v>372</v>
      </c>
      <c r="B77" s="418">
        <v>25010100</v>
      </c>
      <c r="C77" s="419"/>
      <c r="D77" s="423">
        <v>43369073</v>
      </c>
      <c r="E77" s="419"/>
      <c r="F77" s="419">
        <f t="shared" si="0"/>
        <v>43369073</v>
      </c>
    </row>
    <row r="78" spans="1:6" s="420" customFormat="1" ht="14.25" customHeight="1">
      <c r="A78" s="417" t="s">
        <v>373</v>
      </c>
      <c r="B78" s="418">
        <v>25010200</v>
      </c>
      <c r="C78" s="419"/>
      <c r="D78" s="423">
        <v>1413129</v>
      </c>
      <c r="E78" s="419"/>
      <c r="F78" s="419">
        <f t="shared" si="0"/>
        <v>1413129</v>
      </c>
    </row>
    <row r="79" spans="1:6" s="420" customFormat="1" ht="15" customHeight="1">
      <c r="A79" s="417" t="s">
        <v>374</v>
      </c>
      <c r="B79" s="418">
        <v>25010300</v>
      </c>
      <c r="C79" s="419"/>
      <c r="D79" s="423">
        <v>2967230</v>
      </c>
      <c r="E79" s="419"/>
      <c r="F79" s="419">
        <f t="shared" si="0"/>
        <v>2967230</v>
      </c>
    </row>
    <row r="80" spans="1:6" s="420" customFormat="1" ht="25.5" customHeight="1">
      <c r="A80" s="417" t="s">
        <v>375</v>
      </c>
      <c r="B80" s="418">
        <v>25010400</v>
      </c>
      <c r="C80" s="419"/>
      <c r="D80" s="423">
        <v>123120</v>
      </c>
      <c r="E80" s="419"/>
      <c r="F80" s="419">
        <f t="shared" si="0"/>
        <v>123120</v>
      </c>
    </row>
    <row r="81" spans="1:6" s="420" customFormat="1" ht="12.75">
      <c r="A81" s="417" t="s">
        <v>376</v>
      </c>
      <c r="B81" s="418">
        <v>30000000</v>
      </c>
      <c r="C81" s="419">
        <f>C82+C85</f>
        <v>55100</v>
      </c>
      <c r="D81" s="419">
        <f>D82+D85</f>
        <v>26714000</v>
      </c>
      <c r="E81" s="419">
        <f>E82+E85</f>
        <v>26714000</v>
      </c>
      <c r="F81" s="419">
        <f t="shared" si="0"/>
        <v>26769100</v>
      </c>
    </row>
    <row r="82" spans="1:6" s="420" customFormat="1" ht="12.75">
      <c r="A82" s="417" t="s">
        <v>377</v>
      </c>
      <c r="B82" s="418">
        <v>31000000</v>
      </c>
      <c r="C82" s="423">
        <f>C83</f>
        <v>55100</v>
      </c>
      <c r="D82" s="419">
        <f>D84</f>
        <v>26600000</v>
      </c>
      <c r="E82" s="419">
        <f>E84</f>
        <v>26600000</v>
      </c>
      <c r="F82" s="419">
        <f t="shared" si="0"/>
        <v>26655100</v>
      </c>
    </row>
    <row r="83" spans="1:6" s="420" customFormat="1" ht="39" customHeight="1">
      <c r="A83" s="417" t="s">
        <v>856</v>
      </c>
      <c r="B83" s="418">
        <v>31010200</v>
      </c>
      <c r="C83" s="419">
        <v>55100</v>
      </c>
      <c r="D83" s="419"/>
      <c r="E83" s="419"/>
      <c r="F83" s="419">
        <f t="shared" si="0"/>
        <v>55100</v>
      </c>
    </row>
    <row r="84" spans="1:6" s="420" customFormat="1" ht="24.75" customHeight="1">
      <c r="A84" s="417" t="s">
        <v>857</v>
      </c>
      <c r="B84" s="418">
        <v>31030000</v>
      </c>
      <c r="C84" s="419">
        <v>0</v>
      </c>
      <c r="D84" s="419">
        <v>26600000</v>
      </c>
      <c r="E84" s="419">
        <f>D84</f>
        <v>26600000</v>
      </c>
      <c r="F84" s="419">
        <f t="shared" si="0"/>
        <v>26600000</v>
      </c>
    </row>
    <row r="85" spans="1:6" s="420" customFormat="1" ht="13.5" customHeight="1">
      <c r="A85" s="417" t="s">
        <v>858</v>
      </c>
      <c r="B85" s="418">
        <v>33010000</v>
      </c>
      <c r="C85" s="419">
        <f>C86</f>
        <v>0</v>
      </c>
      <c r="D85" s="419">
        <f>D86</f>
        <v>114000</v>
      </c>
      <c r="E85" s="419">
        <f>E86</f>
        <v>114000</v>
      </c>
      <c r="F85" s="419">
        <f t="shared" si="0"/>
        <v>114000</v>
      </c>
    </row>
    <row r="86" spans="1:6" s="424" customFormat="1" ht="38.25" customHeight="1">
      <c r="A86" s="421" t="s">
        <v>859</v>
      </c>
      <c r="B86" s="422">
        <v>33010100</v>
      </c>
      <c r="C86" s="423"/>
      <c r="D86" s="423">
        <v>114000</v>
      </c>
      <c r="E86" s="423">
        <f>D86</f>
        <v>114000</v>
      </c>
      <c r="F86" s="419">
        <f t="shared" si="0"/>
        <v>114000</v>
      </c>
    </row>
    <row r="87" spans="1:6" s="420" customFormat="1" ht="12.75">
      <c r="A87" s="425" t="s">
        <v>860</v>
      </c>
      <c r="B87" s="418">
        <v>40000000</v>
      </c>
      <c r="C87" s="419">
        <f>C88</f>
        <v>1669396431</v>
      </c>
      <c r="D87" s="419">
        <f>D88</f>
        <v>52684180</v>
      </c>
      <c r="E87" s="419">
        <f>E88</f>
        <v>40837300</v>
      </c>
      <c r="F87" s="419">
        <f t="shared" si="0"/>
        <v>1722080611</v>
      </c>
    </row>
    <row r="88" spans="1:7" s="420" customFormat="1" ht="12.75">
      <c r="A88" s="417" t="s">
        <v>861</v>
      </c>
      <c r="B88" s="418">
        <v>41000000</v>
      </c>
      <c r="C88" s="419">
        <f>C89+C92+C102</f>
        <v>1669396431</v>
      </c>
      <c r="D88" s="419">
        <f>D89+D92+D102</f>
        <v>52684180</v>
      </c>
      <c r="E88" s="419">
        <f>E89+E92+E102</f>
        <v>40837300</v>
      </c>
      <c r="F88" s="419">
        <f t="shared" si="0"/>
        <v>1722080611</v>
      </c>
      <c r="G88" s="426"/>
    </row>
    <row r="89" spans="1:6" s="420" customFormat="1" ht="12.75">
      <c r="A89" s="417" t="s">
        <v>862</v>
      </c>
      <c r="B89" s="418">
        <v>41010000</v>
      </c>
      <c r="C89" s="419">
        <f>C90+C91</f>
        <v>7052040</v>
      </c>
      <c r="D89" s="419">
        <f>D90+D91</f>
        <v>10500000</v>
      </c>
      <c r="E89" s="419">
        <f>E90+E91</f>
        <v>10500000</v>
      </c>
      <c r="F89" s="419">
        <f>C89+D89</f>
        <v>17552040</v>
      </c>
    </row>
    <row r="90" spans="1:6" s="420" customFormat="1" ht="39" customHeight="1">
      <c r="A90" s="417" t="s">
        <v>863</v>
      </c>
      <c r="B90" s="418">
        <v>41010600</v>
      </c>
      <c r="C90" s="419">
        <v>7052040</v>
      </c>
      <c r="D90" s="419"/>
      <c r="E90" s="419"/>
      <c r="F90" s="419">
        <f t="shared" si="0"/>
        <v>7052040</v>
      </c>
    </row>
    <row r="91" spans="1:6" s="420" customFormat="1" ht="26.25" customHeight="1">
      <c r="A91" s="421" t="s">
        <v>864</v>
      </c>
      <c r="B91" s="422">
        <v>41010900</v>
      </c>
      <c r="C91" s="423"/>
      <c r="D91" s="423">
        <v>10500000</v>
      </c>
      <c r="E91" s="423">
        <f>D91</f>
        <v>10500000</v>
      </c>
      <c r="F91" s="423">
        <f>C91+D91</f>
        <v>10500000</v>
      </c>
    </row>
    <row r="92" spans="1:6" s="420" customFormat="1" ht="12.75" customHeight="1">
      <c r="A92" s="427" t="s">
        <v>865</v>
      </c>
      <c r="B92" s="418">
        <v>41020000</v>
      </c>
      <c r="C92" s="419">
        <f>C93+C95+C94</f>
        <v>982352620</v>
      </c>
      <c r="D92" s="419">
        <f>D93+D95+D94</f>
        <v>0</v>
      </c>
      <c r="E92" s="419">
        <f>E93+E95+E94</f>
        <v>0</v>
      </c>
      <c r="F92" s="419">
        <f t="shared" si="0"/>
        <v>982352620</v>
      </c>
    </row>
    <row r="93" spans="1:6" s="420" customFormat="1" ht="26.25" customHeight="1">
      <c r="A93" s="417" t="s">
        <v>757</v>
      </c>
      <c r="B93" s="418">
        <v>41020100</v>
      </c>
      <c r="C93" s="419">
        <v>73356340</v>
      </c>
      <c r="D93" s="419"/>
      <c r="E93" s="419"/>
      <c r="F93" s="419">
        <f t="shared" si="0"/>
        <v>73356340</v>
      </c>
    </row>
    <row r="94" spans="1:6" s="420" customFormat="1" ht="26.25" customHeight="1">
      <c r="A94" s="417" t="s">
        <v>954</v>
      </c>
      <c r="B94" s="418">
        <v>41020600</v>
      </c>
      <c r="C94" s="419">
        <v>4451700</v>
      </c>
      <c r="D94" s="419"/>
      <c r="E94" s="419"/>
      <c r="F94" s="419">
        <f t="shared" si="0"/>
        <v>4451700</v>
      </c>
    </row>
    <row r="95" spans="1:6" s="420" customFormat="1" ht="23.25" customHeight="1">
      <c r="A95" s="417" t="s">
        <v>955</v>
      </c>
      <c r="B95" s="418">
        <v>41020900</v>
      </c>
      <c r="C95" s="419">
        <f>SUM(C97:C101)</f>
        <v>904544580</v>
      </c>
      <c r="D95" s="419">
        <f>SUM(D97:D101)</f>
        <v>0</v>
      </c>
      <c r="E95" s="419">
        <f>SUM(E97:E101)</f>
        <v>0</v>
      </c>
      <c r="F95" s="419">
        <f>SUM(F97:F101)</f>
        <v>904544580</v>
      </c>
    </row>
    <row r="96" spans="1:6" s="420" customFormat="1" ht="15" customHeight="1">
      <c r="A96" s="417" t="s">
        <v>956</v>
      </c>
      <c r="B96" s="418"/>
      <c r="C96" s="419"/>
      <c r="D96" s="419"/>
      <c r="E96" s="419"/>
      <c r="F96" s="419">
        <f t="shared" si="0"/>
        <v>0</v>
      </c>
    </row>
    <row r="97" spans="1:6" s="420" customFormat="1" ht="13.5" customHeight="1">
      <c r="A97" s="417" t="s">
        <v>957</v>
      </c>
      <c r="B97" s="418"/>
      <c r="C97" s="419">
        <v>839264580</v>
      </c>
      <c r="D97" s="419"/>
      <c r="E97" s="419"/>
      <c r="F97" s="419">
        <f t="shared" si="0"/>
        <v>839264580</v>
      </c>
    </row>
    <row r="98" spans="1:6" s="420" customFormat="1" ht="64.5" customHeight="1">
      <c r="A98" s="421" t="s">
        <v>756</v>
      </c>
      <c r="B98" s="418"/>
      <c r="C98" s="419">
        <v>51180000</v>
      </c>
      <c r="D98" s="419"/>
      <c r="E98" s="419"/>
      <c r="F98" s="419">
        <f t="shared" si="0"/>
        <v>51180000</v>
      </c>
    </row>
    <row r="99" spans="1:6" s="420" customFormat="1" ht="60" customHeight="1">
      <c r="A99" s="421" t="s">
        <v>958</v>
      </c>
      <c r="B99" s="418"/>
      <c r="C99" s="419">
        <v>8000000</v>
      </c>
      <c r="D99" s="419"/>
      <c r="E99" s="419"/>
      <c r="F99" s="419">
        <f>C99+D99</f>
        <v>8000000</v>
      </c>
    </row>
    <row r="100" spans="1:6" s="420" customFormat="1" ht="29.25" customHeight="1">
      <c r="A100" s="421" t="s">
        <v>959</v>
      </c>
      <c r="B100" s="422"/>
      <c r="C100" s="423">
        <v>5600000</v>
      </c>
      <c r="D100" s="423"/>
      <c r="E100" s="423"/>
      <c r="F100" s="423">
        <f>C100+D100</f>
        <v>5600000</v>
      </c>
    </row>
    <row r="101" spans="1:6" s="420" customFormat="1" ht="69" customHeight="1">
      <c r="A101" s="421" t="s">
        <v>518</v>
      </c>
      <c r="B101" s="422"/>
      <c r="C101" s="423">
        <v>500000</v>
      </c>
      <c r="D101" s="423"/>
      <c r="E101" s="423"/>
      <c r="F101" s="423">
        <f>C101+D101</f>
        <v>500000</v>
      </c>
    </row>
    <row r="102" spans="1:6" s="420" customFormat="1" ht="12.75">
      <c r="A102" s="427" t="s">
        <v>960</v>
      </c>
      <c r="B102" s="418">
        <v>41030000</v>
      </c>
      <c r="C102" s="419">
        <f>C104+C107+C110+C113+C123+C131+C137+C150+C118+C116+C121+C153+C103</f>
        <v>679991771</v>
      </c>
      <c r="D102" s="419">
        <f>D104+D107+D110+D113+D123+D131+D137+D150+D118+D116+D121+D153+D103</f>
        <v>42184180</v>
      </c>
      <c r="E102" s="419">
        <f>E104+E107+E110+E113+E123+E131+E137+E150+E118+E116+E121+E153+E103</f>
        <v>30337300</v>
      </c>
      <c r="F102" s="419">
        <f t="shared" si="0"/>
        <v>722175951</v>
      </c>
    </row>
    <row r="103" spans="1:6" s="420" customFormat="1" ht="56.25" customHeight="1">
      <c r="A103" s="427" t="s">
        <v>446</v>
      </c>
      <c r="B103" s="418">
        <v>41030300</v>
      </c>
      <c r="C103" s="419">
        <v>25262900</v>
      </c>
      <c r="D103" s="419"/>
      <c r="E103" s="419"/>
      <c r="F103" s="419">
        <f t="shared" si="0"/>
        <v>25262900</v>
      </c>
    </row>
    <row r="104" spans="1:6" s="420" customFormat="1" ht="30.75" customHeight="1">
      <c r="A104" s="417" t="s">
        <v>447</v>
      </c>
      <c r="B104" s="418">
        <v>41030600</v>
      </c>
      <c r="C104" s="419">
        <f>C105+C106</f>
        <v>439206160</v>
      </c>
      <c r="D104" s="419"/>
      <c r="E104" s="419"/>
      <c r="F104" s="419">
        <f>F105+F106</f>
        <v>439206160</v>
      </c>
    </row>
    <row r="105" spans="1:6" s="420" customFormat="1" ht="19.5" customHeight="1">
      <c r="A105" s="417" t="s">
        <v>448</v>
      </c>
      <c r="B105" s="418"/>
      <c r="C105" s="419">
        <v>92498840</v>
      </c>
      <c r="D105" s="419"/>
      <c r="E105" s="419"/>
      <c r="F105" s="419">
        <f t="shared" si="0"/>
        <v>92498840</v>
      </c>
    </row>
    <row r="106" spans="1:6" s="420" customFormat="1" ht="18.75" customHeight="1">
      <c r="A106" s="417" t="s">
        <v>449</v>
      </c>
      <c r="B106" s="418"/>
      <c r="C106" s="419">
        <v>346707320</v>
      </c>
      <c r="D106" s="419"/>
      <c r="E106" s="419"/>
      <c r="F106" s="419">
        <f t="shared" si="0"/>
        <v>346707320</v>
      </c>
    </row>
    <row r="107" spans="1:6" s="420" customFormat="1" ht="52.5" customHeight="1">
      <c r="A107" s="428" t="s">
        <v>450</v>
      </c>
      <c r="B107" s="418">
        <v>41030800</v>
      </c>
      <c r="C107" s="419">
        <f>C108+C109</f>
        <v>58991660</v>
      </c>
      <c r="D107" s="419"/>
      <c r="E107" s="419"/>
      <c r="F107" s="419">
        <f>F108+F109</f>
        <v>58991660</v>
      </c>
    </row>
    <row r="108" spans="1:6" s="420" customFormat="1" ht="18" customHeight="1">
      <c r="A108" s="417" t="s">
        <v>448</v>
      </c>
      <c r="B108" s="418"/>
      <c r="C108" s="419">
        <v>9341920</v>
      </c>
      <c r="D108" s="419"/>
      <c r="E108" s="419"/>
      <c r="F108" s="419">
        <f t="shared" si="0"/>
        <v>9341920</v>
      </c>
    </row>
    <row r="109" spans="1:6" s="420" customFormat="1" ht="19.5" customHeight="1">
      <c r="A109" s="417" t="s">
        <v>449</v>
      </c>
      <c r="B109" s="418"/>
      <c r="C109" s="419">
        <v>49649740</v>
      </c>
      <c r="D109" s="419"/>
      <c r="E109" s="419"/>
      <c r="F109" s="419">
        <f t="shared" si="0"/>
        <v>49649740</v>
      </c>
    </row>
    <row r="110" spans="1:6" s="420" customFormat="1" ht="111" customHeight="1">
      <c r="A110" s="417" t="s">
        <v>726</v>
      </c>
      <c r="B110" s="418">
        <v>41030900</v>
      </c>
      <c r="C110" s="419">
        <f>C111+C112</f>
        <v>33425938</v>
      </c>
      <c r="D110" s="419"/>
      <c r="E110" s="419"/>
      <c r="F110" s="419">
        <f>F111+F112</f>
        <v>33425938</v>
      </c>
    </row>
    <row r="111" spans="1:6" s="420" customFormat="1" ht="18.75" customHeight="1">
      <c r="A111" s="417" t="s">
        <v>448</v>
      </c>
      <c r="B111" s="418"/>
      <c r="C111" s="419">
        <v>3288520</v>
      </c>
      <c r="D111" s="419"/>
      <c r="E111" s="419"/>
      <c r="F111" s="419">
        <f t="shared" si="0"/>
        <v>3288520</v>
      </c>
    </row>
    <row r="112" spans="1:6" s="420" customFormat="1" ht="21" customHeight="1">
      <c r="A112" s="417" t="s">
        <v>449</v>
      </c>
      <c r="B112" s="418"/>
      <c r="C112" s="419">
        <v>30137418</v>
      </c>
      <c r="D112" s="419"/>
      <c r="E112" s="419"/>
      <c r="F112" s="419">
        <f t="shared" si="0"/>
        <v>30137418</v>
      </c>
    </row>
    <row r="113" spans="1:6" s="420" customFormat="1" ht="39" customHeight="1">
      <c r="A113" s="417" t="s">
        <v>727</v>
      </c>
      <c r="B113" s="418">
        <v>41031000</v>
      </c>
      <c r="C113" s="419">
        <f>C114+C115</f>
        <v>431200</v>
      </c>
      <c r="D113" s="419"/>
      <c r="E113" s="419"/>
      <c r="F113" s="419">
        <f>F114+F115</f>
        <v>431200</v>
      </c>
    </row>
    <row r="114" spans="1:6" s="420" customFormat="1" ht="21" customHeight="1">
      <c r="A114" s="417" t="s">
        <v>448</v>
      </c>
      <c r="B114" s="418"/>
      <c r="C114" s="419">
        <v>91200</v>
      </c>
      <c r="D114" s="419"/>
      <c r="E114" s="419"/>
      <c r="F114" s="419">
        <f t="shared" si="0"/>
        <v>91200</v>
      </c>
    </row>
    <row r="115" spans="1:6" s="420" customFormat="1" ht="21" customHeight="1">
      <c r="A115" s="417" t="s">
        <v>449</v>
      </c>
      <c r="B115" s="418"/>
      <c r="C115" s="419">
        <v>340000</v>
      </c>
      <c r="D115" s="419"/>
      <c r="E115" s="419"/>
      <c r="F115" s="419">
        <f t="shared" si="0"/>
        <v>340000</v>
      </c>
    </row>
    <row r="116" spans="1:6" s="420" customFormat="1" ht="28.5" customHeight="1">
      <c r="A116" s="421" t="s">
        <v>728</v>
      </c>
      <c r="B116" s="422">
        <v>41033800</v>
      </c>
      <c r="C116" s="423">
        <f>C117</f>
        <v>5714440</v>
      </c>
      <c r="D116" s="423"/>
      <c r="E116" s="423"/>
      <c r="F116" s="423">
        <f>F117</f>
        <v>5714440</v>
      </c>
    </row>
    <row r="117" spans="1:6" s="420" customFormat="1" ht="16.5" customHeight="1">
      <c r="A117" s="417" t="s">
        <v>449</v>
      </c>
      <c r="B117" s="422"/>
      <c r="C117" s="423">
        <v>5714440</v>
      </c>
      <c r="D117" s="423"/>
      <c r="E117" s="423"/>
      <c r="F117" s="419">
        <f t="shared" si="0"/>
        <v>5714440</v>
      </c>
    </row>
    <row r="118" spans="1:6" s="420" customFormat="1" ht="38.25" customHeight="1">
      <c r="A118" s="417" t="s">
        <v>729</v>
      </c>
      <c r="B118" s="418">
        <v>41034400</v>
      </c>
      <c r="C118" s="419">
        <f>C119+C120</f>
        <v>0</v>
      </c>
      <c r="D118" s="419">
        <f>D119+D120</f>
        <v>11846880</v>
      </c>
      <c r="E118" s="419"/>
      <c r="F118" s="419">
        <f>F119+F120</f>
        <v>11846880</v>
      </c>
    </row>
    <row r="119" spans="1:6" s="420" customFormat="1" ht="21" customHeight="1">
      <c r="A119" s="417" t="s">
        <v>448</v>
      </c>
      <c r="B119" s="418"/>
      <c r="C119" s="419"/>
      <c r="D119" s="419">
        <v>1387760</v>
      </c>
      <c r="E119" s="419"/>
      <c r="F119" s="419">
        <f t="shared" si="0"/>
        <v>1387760</v>
      </c>
    </row>
    <row r="120" spans="1:6" s="420" customFormat="1" ht="19.5" customHeight="1">
      <c r="A120" s="417" t="s">
        <v>449</v>
      </c>
      <c r="B120" s="418"/>
      <c r="C120" s="419"/>
      <c r="D120" s="419">
        <v>10459120</v>
      </c>
      <c r="E120" s="419"/>
      <c r="F120" s="419">
        <f>C120+D120</f>
        <v>10459120</v>
      </c>
    </row>
    <row r="121" spans="1:6" s="420" customFormat="1" ht="27.75" customHeight="1">
      <c r="A121" s="417" t="s">
        <v>730</v>
      </c>
      <c r="B121" s="418">
        <v>41034800</v>
      </c>
      <c r="C121" s="419">
        <f>C122</f>
        <v>1989300</v>
      </c>
      <c r="D121" s="419"/>
      <c r="E121" s="419"/>
      <c r="F121" s="419">
        <f>F122</f>
        <v>1989300</v>
      </c>
    </row>
    <row r="122" spans="1:6" s="420" customFormat="1" ht="18.75" customHeight="1">
      <c r="A122" s="417" t="s">
        <v>449</v>
      </c>
      <c r="B122" s="418"/>
      <c r="C122" s="419">
        <v>1989300</v>
      </c>
      <c r="D122" s="419"/>
      <c r="E122" s="419"/>
      <c r="F122" s="419">
        <f aca="true" t="shared" si="1" ref="F122:F158">C122+D122</f>
        <v>1989300</v>
      </c>
    </row>
    <row r="123" spans="1:6" s="420" customFormat="1" ht="17.25" customHeight="1">
      <c r="A123" s="417" t="s">
        <v>731</v>
      </c>
      <c r="B123" s="418">
        <v>41035000</v>
      </c>
      <c r="C123" s="419">
        <f>C124</f>
        <v>5984573</v>
      </c>
      <c r="D123" s="419">
        <f>D124</f>
        <v>0</v>
      </c>
      <c r="E123" s="419">
        <f>E124</f>
        <v>0</v>
      </c>
      <c r="F123" s="419">
        <f>F124</f>
        <v>5984573</v>
      </c>
    </row>
    <row r="124" spans="1:6" s="420" customFormat="1" ht="18" customHeight="1">
      <c r="A124" s="429" t="s">
        <v>732</v>
      </c>
      <c r="B124" s="430"/>
      <c r="C124" s="419">
        <f>C126+C127+C125+C128+C129+C130</f>
        <v>5984573</v>
      </c>
      <c r="D124" s="419">
        <f>D126+D127+D125+D128+D129+D130</f>
        <v>0</v>
      </c>
      <c r="E124" s="419">
        <f>E126+E127+E125+E128+E129+E130</f>
        <v>0</v>
      </c>
      <c r="F124" s="419">
        <f t="shared" si="1"/>
        <v>5984573</v>
      </c>
    </row>
    <row r="125" spans="1:6" s="420" customFormat="1" ht="48.75" customHeight="1">
      <c r="A125" s="429" t="s">
        <v>733</v>
      </c>
      <c r="B125" s="430"/>
      <c r="C125" s="423">
        <v>1685680</v>
      </c>
      <c r="D125" s="419"/>
      <c r="E125" s="419"/>
      <c r="F125" s="419">
        <f t="shared" si="1"/>
        <v>1685680</v>
      </c>
    </row>
    <row r="126" spans="1:6" s="420" customFormat="1" ht="51" customHeight="1">
      <c r="A126" s="429" t="s">
        <v>358</v>
      </c>
      <c r="B126" s="430"/>
      <c r="C126" s="423">
        <v>1812030</v>
      </c>
      <c r="D126" s="419"/>
      <c r="E126" s="419"/>
      <c r="F126" s="419">
        <f t="shared" si="1"/>
        <v>1812030</v>
      </c>
    </row>
    <row r="127" spans="1:6" s="420" customFormat="1" ht="44.25" customHeight="1">
      <c r="A127" s="429" t="s">
        <v>609</v>
      </c>
      <c r="B127" s="430"/>
      <c r="C127" s="423">
        <v>1545080</v>
      </c>
      <c r="D127" s="419"/>
      <c r="E127" s="419"/>
      <c r="F127" s="419">
        <f t="shared" si="1"/>
        <v>1545080</v>
      </c>
    </row>
    <row r="128" spans="1:6" s="420" customFormat="1" ht="44.25" customHeight="1">
      <c r="A128" s="431" t="s">
        <v>610</v>
      </c>
      <c r="B128" s="432"/>
      <c r="C128" s="423">
        <v>115900</v>
      </c>
      <c r="D128" s="423"/>
      <c r="E128" s="423"/>
      <c r="F128" s="423">
        <f>C128+D128</f>
        <v>115900</v>
      </c>
    </row>
    <row r="129" spans="1:6" s="420" customFormat="1" ht="36.75" customHeight="1">
      <c r="A129" s="431" t="s">
        <v>175</v>
      </c>
      <c r="B129" s="432"/>
      <c r="C129" s="423">
        <v>306976</v>
      </c>
      <c r="D129" s="423"/>
      <c r="E129" s="423"/>
      <c r="F129" s="423">
        <f>C129+D129</f>
        <v>306976</v>
      </c>
    </row>
    <row r="130" spans="1:6" s="420" customFormat="1" ht="36.75" customHeight="1">
      <c r="A130" s="431" t="s">
        <v>176</v>
      </c>
      <c r="B130" s="432"/>
      <c r="C130" s="423">
        <v>518907</v>
      </c>
      <c r="D130" s="423"/>
      <c r="E130" s="423"/>
      <c r="F130" s="423">
        <f>C130+D130</f>
        <v>518907</v>
      </c>
    </row>
    <row r="131" spans="1:7" s="420" customFormat="1" ht="28.5" customHeight="1">
      <c r="A131" s="433" t="s">
        <v>734</v>
      </c>
      <c r="B131" s="434">
        <v>41035200</v>
      </c>
      <c r="C131" s="419">
        <f>C132</f>
        <v>6147240</v>
      </c>
      <c r="D131" s="419">
        <f>D132</f>
        <v>0</v>
      </c>
      <c r="E131" s="419">
        <f>E132</f>
        <v>0</v>
      </c>
      <c r="F131" s="419">
        <f>F132</f>
        <v>6147240</v>
      </c>
      <c r="G131" s="411"/>
    </row>
    <row r="132" spans="1:7" s="420" customFormat="1" ht="18" customHeight="1">
      <c r="A132" s="433" t="s">
        <v>735</v>
      </c>
      <c r="B132" s="430"/>
      <c r="C132" s="419">
        <f>C133+C134+C135+C136</f>
        <v>6147240</v>
      </c>
      <c r="D132" s="419">
        <f>D133+D134+D135+D136</f>
        <v>0</v>
      </c>
      <c r="E132" s="419">
        <f>E133+E134+E135+E136</f>
        <v>0</v>
      </c>
      <c r="F132" s="419">
        <f t="shared" si="1"/>
        <v>6147240</v>
      </c>
      <c r="G132" s="426"/>
    </row>
    <row r="133" spans="1:6" s="420" customFormat="1" ht="21" customHeight="1">
      <c r="A133" s="435" t="s">
        <v>736</v>
      </c>
      <c r="B133" s="430"/>
      <c r="C133" s="419">
        <v>810920</v>
      </c>
      <c r="D133" s="419"/>
      <c r="E133" s="419"/>
      <c r="F133" s="419">
        <f t="shared" si="1"/>
        <v>810920</v>
      </c>
    </row>
    <row r="134" spans="1:6" s="420" customFormat="1" ht="30" customHeight="1">
      <c r="A134" s="435" t="s">
        <v>737</v>
      </c>
      <c r="B134" s="436"/>
      <c r="C134" s="419">
        <v>4982540</v>
      </c>
      <c r="D134" s="419"/>
      <c r="E134" s="419"/>
      <c r="F134" s="419">
        <f t="shared" si="1"/>
        <v>4982540</v>
      </c>
    </row>
    <row r="135" spans="1:6" s="420" customFormat="1" ht="27.75" customHeight="1">
      <c r="A135" s="435" t="s">
        <v>738</v>
      </c>
      <c r="B135" s="430"/>
      <c r="C135" s="419">
        <v>109820</v>
      </c>
      <c r="D135" s="419"/>
      <c r="E135" s="419"/>
      <c r="F135" s="419">
        <f t="shared" si="1"/>
        <v>109820</v>
      </c>
    </row>
    <row r="136" spans="1:6" s="420" customFormat="1" ht="38.25" customHeight="1">
      <c r="A136" s="435" t="s">
        <v>739</v>
      </c>
      <c r="B136" s="430"/>
      <c r="C136" s="419">
        <v>243960</v>
      </c>
      <c r="D136" s="419"/>
      <c r="E136" s="419"/>
      <c r="F136" s="419">
        <f t="shared" si="1"/>
        <v>243960</v>
      </c>
    </row>
    <row r="137" spans="1:6" s="420" customFormat="1" ht="27" customHeight="1">
      <c r="A137" s="435" t="s">
        <v>740</v>
      </c>
      <c r="B137" s="434">
        <v>41035600</v>
      </c>
      <c r="C137" s="419">
        <f>C138</f>
        <v>92265660</v>
      </c>
      <c r="D137" s="419">
        <f>D138</f>
        <v>30337300</v>
      </c>
      <c r="E137" s="419">
        <f>E138</f>
        <v>30337300</v>
      </c>
      <c r="F137" s="419">
        <f>F138</f>
        <v>122602960</v>
      </c>
    </row>
    <row r="138" spans="1:6" s="420" customFormat="1" ht="16.5" customHeight="1">
      <c r="A138" s="435" t="s">
        <v>735</v>
      </c>
      <c r="B138" s="430"/>
      <c r="C138" s="419">
        <f>C139+C140+C141+C142+C143+C144+C145+C146+C147+C148+C149</f>
        <v>92265660</v>
      </c>
      <c r="D138" s="419">
        <f>D139+D140+D141+D142+D143+D144+D145+D146+D147+D148+D149</f>
        <v>30337300</v>
      </c>
      <c r="E138" s="419">
        <f>E139+E140+E141+E142+E143+E144+E145+E146+E147+E148+E149</f>
        <v>30337300</v>
      </c>
      <c r="F138" s="419">
        <f>C138+D138</f>
        <v>122602960</v>
      </c>
    </row>
    <row r="139" spans="1:6" s="420" customFormat="1" ht="29.25" customHeight="1">
      <c r="A139" s="435" t="s">
        <v>741</v>
      </c>
      <c r="B139" s="430"/>
      <c r="C139" s="419">
        <v>1532440</v>
      </c>
      <c r="D139" s="419"/>
      <c r="E139" s="419"/>
      <c r="F139" s="419">
        <f>C139+D139</f>
        <v>1532440</v>
      </c>
    </row>
    <row r="140" spans="1:6" s="420" customFormat="1" ht="27" customHeight="1">
      <c r="A140" s="431" t="s">
        <v>742</v>
      </c>
      <c r="B140" s="430"/>
      <c r="C140" s="419">
        <v>2607560</v>
      </c>
      <c r="D140" s="419"/>
      <c r="E140" s="419"/>
      <c r="F140" s="419">
        <f t="shared" si="1"/>
        <v>2607560</v>
      </c>
    </row>
    <row r="141" spans="1:6" s="420" customFormat="1" ht="36" customHeight="1">
      <c r="A141" s="433" t="s">
        <v>743</v>
      </c>
      <c r="B141" s="430"/>
      <c r="C141" s="419">
        <v>151800</v>
      </c>
      <c r="D141" s="419"/>
      <c r="E141" s="419"/>
      <c r="F141" s="419">
        <f t="shared" si="1"/>
        <v>151800</v>
      </c>
    </row>
    <row r="142" spans="1:6" s="420" customFormat="1" ht="31.5" customHeight="1">
      <c r="A142" s="433" t="s">
        <v>744</v>
      </c>
      <c r="B142" s="430"/>
      <c r="C142" s="419">
        <v>40660</v>
      </c>
      <c r="D142" s="419"/>
      <c r="E142" s="419"/>
      <c r="F142" s="419">
        <f t="shared" si="1"/>
        <v>40660</v>
      </c>
    </row>
    <row r="143" spans="1:6" s="420" customFormat="1" ht="31.5" customHeight="1">
      <c r="A143" s="433" t="s">
        <v>745</v>
      </c>
      <c r="B143" s="430"/>
      <c r="C143" s="419">
        <v>83485600</v>
      </c>
      <c r="D143" s="419"/>
      <c r="E143" s="419"/>
      <c r="F143" s="419">
        <f t="shared" si="1"/>
        <v>83485600</v>
      </c>
    </row>
    <row r="144" spans="1:6" s="420" customFormat="1" ht="31.5" customHeight="1">
      <c r="A144" s="433" t="s">
        <v>746</v>
      </c>
      <c r="B144" s="430"/>
      <c r="C144" s="419">
        <v>61400</v>
      </c>
      <c r="D144" s="419">
        <v>543700</v>
      </c>
      <c r="E144" s="419">
        <v>543700</v>
      </c>
      <c r="F144" s="419">
        <f t="shared" si="1"/>
        <v>605100</v>
      </c>
    </row>
    <row r="145" spans="1:6" s="420" customFormat="1" ht="31.5" customHeight="1">
      <c r="A145" s="433" t="s">
        <v>747</v>
      </c>
      <c r="B145" s="430"/>
      <c r="C145" s="419">
        <v>142000</v>
      </c>
      <c r="D145" s="419"/>
      <c r="E145" s="419"/>
      <c r="F145" s="419">
        <f t="shared" si="1"/>
        <v>142000</v>
      </c>
    </row>
    <row r="146" spans="1:6" s="420" customFormat="1" ht="31.5" customHeight="1">
      <c r="A146" s="433" t="s">
        <v>748</v>
      </c>
      <c r="B146" s="430"/>
      <c r="C146" s="419">
        <v>535000</v>
      </c>
      <c r="D146" s="419"/>
      <c r="E146" s="419"/>
      <c r="F146" s="419">
        <f t="shared" si="1"/>
        <v>535000</v>
      </c>
    </row>
    <row r="147" spans="1:6" s="420" customFormat="1" ht="44.25" customHeight="1">
      <c r="A147" s="433" t="s">
        <v>519</v>
      </c>
      <c r="B147" s="430"/>
      <c r="C147" s="419">
        <v>3602400</v>
      </c>
      <c r="D147" s="419"/>
      <c r="E147" s="419"/>
      <c r="F147" s="419">
        <f>C147+D147</f>
        <v>3602400</v>
      </c>
    </row>
    <row r="148" spans="1:6" s="420" customFormat="1" ht="31.5" customHeight="1">
      <c r="A148" s="433" t="s">
        <v>520</v>
      </c>
      <c r="B148" s="430"/>
      <c r="C148" s="419">
        <v>106800</v>
      </c>
      <c r="D148" s="419"/>
      <c r="E148" s="419"/>
      <c r="F148" s="419">
        <f t="shared" si="1"/>
        <v>106800</v>
      </c>
    </row>
    <row r="149" spans="1:6" s="420" customFormat="1" ht="21" customHeight="1">
      <c r="A149" s="433" t="s">
        <v>749</v>
      </c>
      <c r="B149" s="430"/>
      <c r="C149" s="419"/>
      <c r="D149" s="419">
        <v>29793600</v>
      </c>
      <c r="E149" s="419">
        <v>29793600</v>
      </c>
      <c r="F149" s="419">
        <f t="shared" si="1"/>
        <v>29793600</v>
      </c>
    </row>
    <row r="150" spans="1:6" s="420" customFormat="1" ht="49.5" customHeight="1">
      <c r="A150" s="417" t="s">
        <v>750</v>
      </c>
      <c r="B150" s="418">
        <v>41035800</v>
      </c>
      <c r="C150" s="419">
        <f>C151+C152</f>
        <v>8208000</v>
      </c>
      <c r="D150" s="419"/>
      <c r="E150" s="419"/>
      <c r="F150" s="419">
        <f>F151+F152</f>
        <v>8208000</v>
      </c>
    </row>
    <row r="151" spans="1:6" s="420" customFormat="1" ht="20.25" customHeight="1">
      <c r="A151" s="417" t="s">
        <v>448</v>
      </c>
      <c r="B151" s="418"/>
      <c r="C151" s="419">
        <v>1760160</v>
      </c>
      <c r="D151" s="419"/>
      <c r="E151" s="419"/>
      <c r="F151" s="419">
        <f t="shared" si="1"/>
        <v>1760160</v>
      </c>
    </row>
    <row r="152" spans="1:6" s="420" customFormat="1" ht="19.5" customHeight="1">
      <c r="A152" s="417" t="s">
        <v>449</v>
      </c>
      <c r="B152" s="418"/>
      <c r="C152" s="419">
        <v>6447840</v>
      </c>
      <c r="D152" s="419"/>
      <c r="E152" s="419"/>
      <c r="F152" s="419">
        <f t="shared" si="1"/>
        <v>6447840</v>
      </c>
    </row>
    <row r="153" spans="1:6" s="420" customFormat="1" ht="28.5" customHeight="1">
      <c r="A153" s="437" t="s">
        <v>751</v>
      </c>
      <c r="B153" s="418">
        <v>41037000</v>
      </c>
      <c r="C153" s="419">
        <v>2364700</v>
      </c>
      <c r="D153" s="419"/>
      <c r="E153" s="419"/>
      <c r="F153" s="419">
        <f t="shared" si="1"/>
        <v>2364700</v>
      </c>
    </row>
    <row r="154" spans="1:6" s="420" customFormat="1" ht="14.25" customHeight="1">
      <c r="A154" s="417" t="s">
        <v>378</v>
      </c>
      <c r="B154" s="418">
        <v>50000000</v>
      </c>
      <c r="C154" s="419">
        <v>0</v>
      </c>
      <c r="D154" s="419">
        <f>D155</f>
        <v>33147431</v>
      </c>
      <c r="E154" s="419">
        <f>E155</f>
        <v>0</v>
      </c>
      <c r="F154" s="419">
        <f t="shared" si="1"/>
        <v>33147431</v>
      </c>
    </row>
    <row r="155" spans="1:6" s="420" customFormat="1" ht="12.75">
      <c r="A155" s="417" t="s">
        <v>379</v>
      </c>
      <c r="B155" s="418">
        <v>50100000</v>
      </c>
      <c r="C155" s="419">
        <v>0</v>
      </c>
      <c r="D155" s="419">
        <f>D156</f>
        <v>33147431</v>
      </c>
      <c r="E155" s="419"/>
      <c r="F155" s="419">
        <f t="shared" si="1"/>
        <v>33147431</v>
      </c>
    </row>
    <row r="156" spans="1:6" s="420" customFormat="1" ht="24.75" customHeight="1">
      <c r="A156" s="417" t="s">
        <v>380</v>
      </c>
      <c r="B156" s="418">
        <v>50110000</v>
      </c>
      <c r="C156" s="419"/>
      <c r="D156" s="419">
        <v>33147431</v>
      </c>
      <c r="E156" s="419"/>
      <c r="F156" s="419">
        <f t="shared" si="1"/>
        <v>33147431</v>
      </c>
    </row>
    <row r="157" spans="1:6" s="420" customFormat="1" ht="16.5" customHeight="1">
      <c r="A157" s="417" t="s">
        <v>381</v>
      </c>
      <c r="B157" s="418"/>
      <c r="C157" s="419">
        <v>0</v>
      </c>
      <c r="D157" s="419">
        <v>33147431</v>
      </c>
      <c r="E157" s="419"/>
      <c r="F157" s="419">
        <f t="shared" si="1"/>
        <v>33147431</v>
      </c>
    </row>
    <row r="158" spans="1:7" s="420" customFormat="1" ht="12.75">
      <c r="A158" s="438" t="s">
        <v>382</v>
      </c>
      <c r="B158" s="418"/>
      <c r="C158" s="419">
        <f>C9+C57+C81+C87+C154</f>
        <v>2311525525</v>
      </c>
      <c r="D158" s="419">
        <f>D9+D57+D81+D87+D154</f>
        <v>229354343</v>
      </c>
      <c r="E158" s="419">
        <f>E9+E57+E81+E87+E154</f>
        <v>134763800</v>
      </c>
      <c r="F158" s="419">
        <f t="shared" si="1"/>
        <v>2540879868</v>
      </c>
      <c r="G158" s="426"/>
    </row>
    <row r="159" spans="1:6" s="420" customFormat="1" ht="12.75">
      <c r="A159" s="439" t="s">
        <v>383</v>
      </c>
      <c r="B159" s="440"/>
      <c r="C159" s="441"/>
      <c r="D159" s="441"/>
      <c r="E159" s="441"/>
      <c r="F159" s="441"/>
    </row>
    <row r="160" spans="1:7" s="420" customFormat="1" ht="12.75">
      <c r="A160" s="41"/>
      <c r="B160" s="42"/>
      <c r="C160" s="42"/>
      <c r="D160" s="42"/>
      <c r="E160" s="42"/>
      <c r="F160" s="42"/>
      <c r="G160" s="42"/>
    </row>
    <row r="161" spans="1:7" s="420" customFormat="1" ht="12.75">
      <c r="A161" s="41"/>
      <c r="B161" s="42"/>
      <c r="C161" s="42"/>
      <c r="D161" s="42"/>
      <c r="E161" s="42"/>
      <c r="F161" s="42"/>
      <c r="G161" s="42"/>
    </row>
    <row r="162" spans="1:6" s="420" customFormat="1" ht="12.75">
      <c r="A162" s="439"/>
      <c r="B162" s="440"/>
      <c r="C162" s="441"/>
      <c r="D162" s="441"/>
      <c r="E162" s="441"/>
      <c r="F162" s="441"/>
    </row>
    <row r="163" spans="1:6" s="420" customFormat="1" ht="12.75">
      <c r="A163" s="439"/>
      <c r="B163" s="440"/>
      <c r="C163" s="441"/>
      <c r="D163" s="441"/>
      <c r="E163" s="441"/>
      <c r="F163" s="441"/>
    </row>
    <row r="164" spans="1:6" s="420" customFormat="1" ht="12.75">
      <c r="A164" s="439"/>
      <c r="B164" s="440"/>
      <c r="C164" s="441"/>
      <c r="D164" s="441"/>
      <c r="E164" s="441"/>
      <c r="F164" s="441"/>
    </row>
    <row r="165" spans="1:6" s="420" customFormat="1" ht="12.75">
      <c r="A165" s="439"/>
      <c r="B165" s="440"/>
      <c r="C165" s="441"/>
      <c r="D165" s="441"/>
      <c r="E165" s="441"/>
      <c r="F165" s="441"/>
    </row>
    <row r="166" spans="1:6" s="420" customFormat="1" ht="12.75">
      <c r="A166" s="439"/>
      <c r="B166" s="440"/>
      <c r="C166" s="441"/>
      <c r="D166" s="441"/>
      <c r="E166" s="441"/>
      <c r="F166" s="441"/>
    </row>
    <row r="167" spans="1:6" s="420" customFormat="1" ht="12.75">
      <c r="A167" s="439"/>
      <c r="B167" s="440"/>
      <c r="C167" s="441"/>
      <c r="D167" s="441"/>
      <c r="E167" s="441"/>
      <c r="F167" s="441"/>
    </row>
    <row r="168" spans="1:6" s="420" customFormat="1" ht="12.75">
      <c r="A168" s="439"/>
      <c r="B168" s="440"/>
      <c r="C168" s="441"/>
      <c r="D168" s="441"/>
      <c r="E168" s="441"/>
      <c r="F168" s="441"/>
    </row>
    <row r="169" spans="1:6" s="420" customFormat="1" ht="12.75">
      <c r="A169" s="439"/>
      <c r="B169" s="440"/>
      <c r="C169" s="441"/>
      <c r="D169" s="441"/>
      <c r="E169" s="441"/>
      <c r="F169" s="441"/>
    </row>
    <row r="170" spans="1:6" s="420" customFormat="1" ht="12.75">
      <c r="A170" s="439"/>
      <c r="B170" s="440"/>
      <c r="C170" s="441"/>
      <c r="D170" s="441"/>
      <c r="E170" s="441"/>
      <c r="F170" s="441"/>
    </row>
    <row r="171" spans="1:6" s="420" customFormat="1" ht="12.75">
      <c r="A171" s="439"/>
      <c r="B171" s="440"/>
      <c r="C171" s="441"/>
      <c r="D171" s="441"/>
      <c r="E171" s="441"/>
      <c r="F171" s="441"/>
    </row>
    <row r="172" spans="1:6" s="420" customFormat="1" ht="12.75">
      <c r="A172" s="439"/>
      <c r="B172" s="440"/>
      <c r="C172" s="441"/>
      <c r="D172" s="441"/>
      <c r="E172" s="441"/>
      <c r="F172" s="441"/>
    </row>
    <row r="173" spans="1:6" s="420" customFormat="1" ht="12.75">
      <c r="A173" s="439"/>
      <c r="B173" s="440"/>
      <c r="C173" s="441"/>
      <c r="D173" s="441"/>
      <c r="E173" s="441"/>
      <c r="F173" s="441"/>
    </row>
    <row r="174" spans="1:6" s="420" customFormat="1" ht="12.75">
      <c r="A174" s="439"/>
      <c r="B174" s="440"/>
      <c r="C174" s="441"/>
      <c r="D174" s="441"/>
      <c r="E174" s="441"/>
      <c r="F174" s="441"/>
    </row>
    <row r="175" spans="1:6" s="420" customFormat="1" ht="12.75">
      <c r="A175" s="439"/>
      <c r="B175" s="440"/>
      <c r="C175" s="441"/>
      <c r="D175" s="441"/>
      <c r="E175" s="441"/>
      <c r="F175" s="441"/>
    </row>
    <row r="176" spans="1:6" ht="12.75">
      <c r="A176" s="439"/>
      <c r="B176" s="440"/>
      <c r="C176" s="441"/>
      <c r="D176" s="441"/>
      <c r="E176" s="441"/>
      <c r="F176" s="441"/>
    </row>
    <row r="177" spans="1:6" ht="12.75">
      <c r="A177" s="439"/>
      <c r="B177" s="440"/>
      <c r="C177" s="441"/>
      <c r="D177" s="441"/>
      <c r="E177" s="441"/>
      <c r="F177" s="441"/>
    </row>
    <row r="178" spans="1:6" ht="12.75">
      <c r="A178" s="439"/>
      <c r="B178" s="440"/>
      <c r="C178" s="441"/>
      <c r="D178" s="441"/>
      <c r="E178" s="441"/>
      <c r="F178" s="441"/>
    </row>
    <row r="179" spans="1:6" ht="12.75">
      <c r="A179" s="439"/>
      <c r="B179" s="440"/>
      <c r="C179" s="441"/>
      <c r="D179" s="441"/>
      <c r="E179" s="441"/>
      <c r="F179" s="441"/>
    </row>
    <row r="180" spans="1:6" ht="12.75">
      <c r="A180" s="439"/>
      <c r="B180" s="440"/>
      <c r="C180" s="441"/>
      <c r="D180" s="441"/>
      <c r="E180" s="441"/>
      <c r="F180" s="441"/>
    </row>
    <row r="181" spans="1:6" ht="12.75">
      <c r="A181" s="439"/>
      <c r="B181" s="440"/>
      <c r="C181" s="441"/>
      <c r="D181" s="441"/>
      <c r="E181" s="441"/>
      <c r="F181" s="441"/>
    </row>
    <row r="182" spans="1:6" ht="12.75">
      <c r="A182" s="439"/>
      <c r="B182" s="440"/>
      <c r="C182" s="441"/>
      <c r="D182" s="441"/>
      <c r="E182" s="441"/>
      <c r="F182" s="441"/>
    </row>
    <row r="183" spans="1:6" ht="12.75">
      <c r="A183" s="439"/>
      <c r="B183" s="440"/>
      <c r="C183" s="441"/>
      <c r="D183" s="441"/>
      <c r="E183" s="441"/>
      <c r="F183" s="441"/>
    </row>
    <row r="184" spans="1:6" ht="12.75">
      <c r="A184" s="439"/>
      <c r="B184" s="440"/>
      <c r="C184" s="441"/>
      <c r="D184" s="441"/>
      <c r="E184" s="441"/>
      <c r="F184" s="441"/>
    </row>
    <row r="185" spans="1:6" ht="12.75">
      <c r="A185" s="439"/>
      <c r="B185" s="440"/>
      <c r="C185" s="441"/>
      <c r="D185" s="441"/>
      <c r="E185" s="441"/>
      <c r="F185" s="441"/>
    </row>
    <row r="186" spans="1:6" ht="12.75">
      <c r="A186" s="439"/>
      <c r="B186" s="440"/>
      <c r="C186" s="441"/>
      <c r="D186" s="441"/>
      <c r="E186" s="441"/>
      <c r="F186" s="441"/>
    </row>
    <row r="187" spans="1:6" ht="12.75">
      <c r="A187" s="439"/>
      <c r="B187" s="440"/>
      <c r="C187" s="441"/>
      <c r="D187" s="441"/>
      <c r="E187" s="441"/>
      <c r="F187" s="441"/>
    </row>
    <row r="188" spans="1:6" ht="12.75">
      <c r="A188" s="439"/>
      <c r="B188" s="440"/>
      <c r="C188" s="441"/>
      <c r="D188" s="441"/>
      <c r="E188" s="441"/>
      <c r="F188" s="441"/>
    </row>
    <row r="189" spans="1:6" ht="12.75">
      <c r="A189" s="439"/>
      <c r="B189" s="440"/>
      <c r="C189" s="441"/>
      <c r="D189" s="441"/>
      <c r="E189" s="441"/>
      <c r="F189" s="441"/>
    </row>
    <row r="190" spans="1:6" ht="12.75">
      <c r="A190" s="439"/>
      <c r="B190" s="440"/>
      <c r="C190" s="441"/>
      <c r="D190" s="441"/>
      <c r="E190" s="441"/>
      <c r="F190" s="441"/>
    </row>
    <row r="191" spans="1:6" ht="12.75">
      <c r="A191" s="439"/>
      <c r="B191" s="440"/>
      <c r="C191" s="441"/>
      <c r="D191" s="441"/>
      <c r="E191" s="441"/>
      <c r="F191" s="441"/>
    </row>
    <row r="192" spans="1:6" ht="12.75">
      <c r="A192" s="439"/>
      <c r="B192" s="440"/>
      <c r="C192" s="441"/>
      <c r="D192" s="441"/>
      <c r="E192" s="441"/>
      <c r="F192" s="441"/>
    </row>
    <row r="193" spans="1:6" ht="12.75">
      <c r="A193" s="439"/>
      <c r="B193" s="440"/>
      <c r="C193" s="441"/>
      <c r="D193" s="441"/>
      <c r="E193" s="441"/>
      <c r="F193" s="441"/>
    </row>
    <row r="194" spans="1:6" ht="12.75">
      <c r="A194" s="439"/>
      <c r="B194" s="440"/>
      <c r="C194" s="441"/>
      <c r="D194" s="441"/>
      <c r="E194" s="441"/>
      <c r="F194" s="441"/>
    </row>
    <row r="195" spans="1:6" ht="12.75">
      <c r="A195" s="439"/>
      <c r="B195" s="440"/>
      <c r="C195" s="441"/>
      <c r="D195" s="441"/>
      <c r="E195" s="441"/>
      <c r="F195" s="441"/>
    </row>
    <row r="196" spans="1:6" ht="12.75">
      <c r="A196" s="439"/>
      <c r="B196" s="440"/>
      <c r="C196" s="441"/>
      <c r="D196" s="441"/>
      <c r="E196" s="441"/>
      <c r="F196" s="441"/>
    </row>
    <row r="197" spans="1:6" ht="12.75">
      <c r="A197" s="439"/>
      <c r="B197" s="440"/>
      <c r="C197" s="441"/>
      <c r="D197" s="441"/>
      <c r="E197" s="441"/>
      <c r="F197" s="441"/>
    </row>
    <row r="198" spans="1:6" ht="12.75">
      <c r="A198" s="439"/>
      <c r="B198" s="440"/>
      <c r="C198" s="441"/>
      <c r="D198" s="441"/>
      <c r="E198" s="441"/>
      <c r="F198" s="441"/>
    </row>
    <row r="199" spans="1:6" ht="12.75">
      <c r="A199" s="439"/>
      <c r="B199" s="440"/>
      <c r="C199" s="441"/>
      <c r="D199" s="441"/>
      <c r="E199" s="441"/>
      <c r="F199" s="441"/>
    </row>
    <row r="200" spans="1:6" ht="12.75">
      <c r="A200" s="439"/>
      <c r="B200" s="440"/>
      <c r="C200" s="441"/>
      <c r="D200" s="441"/>
      <c r="E200" s="441"/>
      <c r="F200" s="441"/>
    </row>
    <row r="201" spans="1:6" ht="12.75">
      <c r="A201" s="439"/>
      <c r="B201" s="440"/>
      <c r="C201" s="441"/>
      <c r="D201" s="441"/>
      <c r="E201" s="441"/>
      <c r="F201" s="441"/>
    </row>
    <row r="202" spans="1:6" ht="12.75">
      <c r="A202" s="439"/>
      <c r="B202" s="440"/>
      <c r="C202" s="441"/>
      <c r="D202" s="441"/>
      <c r="E202" s="441"/>
      <c r="F202" s="441"/>
    </row>
  </sheetData>
  <mergeCells count="6">
    <mergeCell ref="A5:F5"/>
    <mergeCell ref="A7:A8"/>
    <mergeCell ref="B7:B8"/>
    <mergeCell ref="C7:C8"/>
    <mergeCell ref="D7:E7"/>
    <mergeCell ref="F7:F8"/>
  </mergeCells>
  <printOptions/>
  <pageMargins left="0.23" right="0.21" top="1" bottom="1" header="0.5" footer="0.5"/>
  <pageSetup fitToWidth="3" horizontalDpi="600" verticalDpi="600" orientation="portrait" paperSize="9" scale="53" r:id="rId1"/>
  <rowBreaks count="1" manualBreakCount="1">
    <brk id="112" max="6" man="1"/>
  </rowBreaks>
</worksheet>
</file>

<file path=xl/worksheets/sheet10.xml><?xml version="1.0" encoding="utf-8"?>
<worksheet xmlns="http://schemas.openxmlformats.org/spreadsheetml/2006/main" xmlns:r="http://schemas.openxmlformats.org/officeDocument/2006/relationships">
  <dimension ref="A1:D189"/>
  <sheetViews>
    <sheetView view="pageBreakPreview" zoomScale="60" workbookViewId="0" topLeftCell="A97">
      <selection activeCell="B6" sqref="B6"/>
    </sheetView>
  </sheetViews>
  <sheetFormatPr defaultColWidth="9.140625" defaultRowHeight="12.75"/>
  <cols>
    <col min="1" max="1" width="208.8515625" style="10" customWidth="1"/>
    <col min="2" max="2" width="40.8515625" style="482" customWidth="1"/>
    <col min="3" max="3" width="13.8515625" style="10" customWidth="1"/>
    <col min="4" max="16384" width="9.140625" style="10" customWidth="1"/>
  </cols>
  <sheetData>
    <row r="1" spans="1:2" ht="20.25">
      <c r="A1" s="110"/>
      <c r="B1" s="110" t="s">
        <v>777</v>
      </c>
    </row>
    <row r="2" spans="1:2" ht="20.25">
      <c r="A2" s="110"/>
      <c r="B2" s="110" t="s">
        <v>143</v>
      </c>
    </row>
    <row r="3" spans="1:2" ht="20.25">
      <c r="A3" s="110"/>
      <c r="B3" s="110" t="s">
        <v>754</v>
      </c>
    </row>
    <row r="4" spans="1:2" ht="20.25">
      <c r="A4" s="110"/>
      <c r="B4" s="110" t="s">
        <v>578</v>
      </c>
    </row>
    <row r="5" spans="1:2" ht="20.25">
      <c r="A5" s="110"/>
      <c r="B5" s="592" t="s">
        <v>778</v>
      </c>
    </row>
    <row r="6" spans="1:2" ht="26.25">
      <c r="A6" s="444"/>
      <c r="B6" s="445"/>
    </row>
    <row r="7" spans="1:2" ht="26.25" customHeight="1">
      <c r="A7" s="704" t="s">
        <v>660</v>
      </c>
      <c r="B7" s="704"/>
    </row>
    <row r="8" spans="1:2" ht="26.25" customHeight="1">
      <c r="A8" s="705" t="s">
        <v>661</v>
      </c>
      <c r="B8" s="705"/>
    </row>
    <row r="9" spans="1:2" ht="27">
      <c r="A9" s="446"/>
      <c r="B9" s="447"/>
    </row>
    <row r="10" spans="1:2" ht="35.25" customHeight="1" thickBot="1">
      <c r="A10" s="706" t="s">
        <v>523</v>
      </c>
      <c r="B10" s="706"/>
    </row>
    <row r="11" spans="1:2" ht="61.5" customHeight="1" thickBot="1">
      <c r="A11" s="448" t="s">
        <v>39</v>
      </c>
      <c r="B11" s="449" t="s">
        <v>662</v>
      </c>
    </row>
    <row r="12" spans="1:2" s="420" customFormat="1" ht="69" customHeight="1" thickBot="1">
      <c r="A12" s="450" t="s">
        <v>663</v>
      </c>
      <c r="B12" s="451">
        <f>SUM(B13:B20)</f>
        <v>20479211</v>
      </c>
    </row>
    <row r="13" spans="1:2" ht="61.5" customHeight="1">
      <c r="A13" s="452" t="s">
        <v>664</v>
      </c>
      <c r="B13" s="453">
        <f>25105156-6457465</f>
        <v>18647691</v>
      </c>
    </row>
    <row r="14" spans="1:2" ht="61.5" customHeight="1">
      <c r="A14" s="454" t="s">
        <v>665</v>
      </c>
      <c r="B14" s="453">
        <v>379620</v>
      </c>
    </row>
    <row r="15" spans="1:2" ht="46.5" customHeight="1">
      <c r="A15" s="455" t="s">
        <v>479</v>
      </c>
      <c r="B15" s="453">
        <v>240844</v>
      </c>
    </row>
    <row r="16" spans="1:2" ht="117" customHeight="1">
      <c r="A16" s="456" t="s">
        <v>666</v>
      </c>
      <c r="B16" s="453">
        <v>700074</v>
      </c>
    </row>
    <row r="17" spans="1:2" ht="67.5" customHeight="1">
      <c r="A17" s="456" t="s">
        <v>667</v>
      </c>
      <c r="B17" s="453">
        <v>25536</v>
      </c>
    </row>
    <row r="18" spans="1:2" ht="67.5" customHeight="1">
      <c r="A18" s="455" t="s">
        <v>668</v>
      </c>
      <c r="B18" s="453">
        <v>10446</v>
      </c>
    </row>
    <row r="19" spans="1:2" ht="90" customHeight="1">
      <c r="A19" s="483" t="s">
        <v>0</v>
      </c>
      <c r="B19" s="453">
        <v>10000</v>
      </c>
    </row>
    <row r="20" spans="1:2" ht="79.5" customHeight="1">
      <c r="A20" s="457" t="s">
        <v>669</v>
      </c>
      <c r="B20" s="453">
        <v>465000</v>
      </c>
    </row>
    <row r="21" spans="1:2" ht="53.25" customHeight="1" thickBot="1">
      <c r="A21" s="458" t="s">
        <v>670</v>
      </c>
      <c r="B21" s="451">
        <f>SUM(B22:B29)</f>
        <v>8490774</v>
      </c>
    </row>
    <row r="22" spans="1:2" ht="45" customHeight="1">
      <c r="A22" s="459" t="s">
        <v>671</v>
      </c>
      <c r="B22" s="453">
        <f>5426951+112480</f>
        <v>5539431</v>
      </c>
    </row>
    <row r="23" spans="1:2" ht="66.75" customHeight="1">
      <c r="A23" s="460" t="s">
        <v>672</v>
      </c>
      <c r="B23" s="453">
        <v>716312</v>
      </c>
    </row>
    <row r="24" spans="1:2" ht="92.25" customHeight="1">
      <c r="A24" s="461" t="s">
        <v>673</v>
      </c>
      <c r="B24" s="453">
        <f>114000-40000</f>
        <v>74000</v>
      </c>
    </row>
    <row r="25" spans="1:2" ht="63.75" customHeight="1">
      <c r="A25" s="460" t="s">
        <v>674</v>
      </c>
      <c r="B25" s="453">
        <v>143613</v>
      </c>
    </row>
    <row r="26" spans="1:2" ht="56.25" customHeight="1">
      <c r="A26" s="460" t="s">
        <v>675</v>
      </c>
      <c r="B26" s="453">
        <v>141637</v>
      </c>
    </row>
    <row r="27" spans="1:2" ht="65.25" customHeight="1">
      <c r="A27" s="460" t="s">
        <v>676</v>
      </c>
      <c r="B27" s="453">
        <f>1935423-104880</f>
        <v>1830543</v>
      </c>
    </row>
    <row r="28" spans="1:2" ht="62.25" customHeight="1">
      <c r="A28" s="460" t="s">
        <v>677</v>
      </c>
      <c r="B28" s="453">
        <f>26210-7600</f>
        <v>18610</v>
      </c>
    </row>
    <row r="29" spans="1:2" ht="54.75" customHeight="1" thickBot="1">
      <c r="A29" s="460" t="s">
        <v>678</v>
      </c>
      <c r="B29" s="453">
        <v>26628</v>
      </c>
    </row>
    <row r="30" spans="1:2" ht="63" customHeight="1">
      <c r="A30" s="462" t="s">
        <v>679</v>
      </c>
      <c r="B30" s="463">
        <f>SUM(B31:B33)</f>
        <v>1779312</v>
      </c>
    </row>
    <row r="31" spans="1:2" ht="98.25" customHeight="1">
      <c r="A31" s="461" t="s">
        <v>673</v>
      </c>
      <c r="B31" s="464">
        <v>379620</v>
      </c>
    </row>
    <row r="32" spans="1:2" ht="57" customHeight="1">
      <c r="A32" s="465" t="s">
        <v>680</v>
      </c>
      <c r="B32" s="464">
        <v>1330000</v>
      </c>
    </row>
    <row r="33" spans="1:2" ht="63" customHeight="1">
      <c r="A33" s="466" t="s">
        <v>681</v>
      </c>
      <c r="B33" s="464">
        <v>69692</v>
      </c>
    </row>
    <row r="34" spans="1:2" ht="63" customHeight="1" thickBot="1">
      <c r="A34" s="458" t="s">
        <v>608</v>
      </c>
      <c r="B34" s="451">
        <f>SUM(B35:B42)</f>
        <v>4453654</v>
      </c>
    </row>
    <row r="35" spans="1:2" ht="54.75" customHeight="1">
      <c r="A35" s="454" t="s">
        <v>682</v>
      </c>
      <c r="B35" s="453">
        <v>807147</v>
      </c>
    </row>
    <row r="36" spans="1:2" ht="60" customHeight="1">
      <c r="A36" s="460" t="s">
        <v>683</v>
      </c>
      <c r="B36" s="453">
        <v>345800</v>
      </c>
    </row>
    <row r="37" spans="1:2" ht="60" customHeight="1">
      <c r="A37" s="467" t="s">
        <v>664</v>
      </c>
      <c r="B37" s="453">
        <v>293360</v>
      </c>
    </row>
    <row r="38" spans="1:2" ht="60" customHeight="1">
      <c r="A38" s="460" t="s">
        <v>684</v>
      </c>
      <c r="B38" s="453">
        <v>1155872</v>
      </c>
    </row>
    <row r="39" spans="1:2" ht="60" customHeight="1">
      <c r="A39" s="454" t="s">
        <v>685</v>
      </c>
      <c r="B39" s="453">
        <f>5126932-3385473</f>
        <v>1741459</v>
      </c>
    </row>
    <row r="40" spans="1:2" ht="60" customHeight="1">
      <c r="A40" s="460" t="s">
        <v>686</v>
      </c>
      <c r="B40" s="453">
        <v>95000</v>
      </c>
    </row>
    <row r="41" spans="1:2" ht="82.5" customHeight="1">
      <c r="A41" s="461" t="s">
        <v>673</v>
      </c>
      <c r="B41" s="453">
        <v>10000</v>
      </c>
    </row>
    <row r="42" spans="1:2" ht="60" customHeight="1">
      <c r="A42" s="467" t="s">
        <v>669</v>
      </c>
      <c r="B42" s="453">
        <v>5016</v>
      </c>
    </row>
    <row r="43" spans="1:2" ht="51" customHeight="1" thickBot="1">
      <c r="A43" s="468" t="s">
        <v>581</v>
      </c>
      <c r="B43" s="463">
        <f>SUM(B44:B51)</f>
        <v>4010494</v>
      </c>
    </row>
    <row r="44" spans="1:2" ht="51" customHeight="1">
      <c r="A44" s="460" t="s">
        <v>687</v>
      </c>
      <c r="B44" s="453">
        <v>2064920</v>
      </c>
    </row>
    <row r="45" spans="1:2" ht="87" customHeight="1">
      <c r="A45" s="460" t="s">
        <v>688</v>
      </c>
      <c r="B45" s="453">
        <f>114000-20191</f>
        <v>93809</v>
      </c>
    </row>
    <row r="46" spans="1:2" ht="60" customHeight="1">
      <c r="A46" s="469" t="s">
        <v>689</v>
      </c>
      <c r="B46" s="453">
        <v>592800</v>
      </c>
    </row>
    <row r="47" spans="1:2" ht="60" customHeight="1">
      <c r="A47" s="469" t="s">
        <v>526</v>
      </c>
      <c r="B47" s="453">
        <v>940120</v>
      </c>
    </row>
    <row r="48" spans="1:2" ht="43.5" customHeight="1">
      <c r="A48" s="460" t="s">
        <v>680</v>
      </c>
      <c r="B48" s="453">
        <v>228000</v>
      </c>
    </row>
    <row r="49" spans="1:2" ht="60" customHeight="1">
      <c r="A49" s="454" t="s">
        <v>527</v>
      </c>
      <c r="B49" s="453">
        <f>600002-600002</f>
        <v>0</v>
      </c>
    </row>
    <row r="50" spans="1:2" ht="60" customHeight="1">
      <c r="A50" s="460" t="s">
        <v>528</v>
      </c>
      <c r="B50" s="453">
        <v>81345</v>
      </c>
    </row>
    <row r="51" spans="1:2" ht="93" customHeight="1">
      <c r="A51" s="460" t="s">
        <v>529</v>
      </c>
      <c r="B51" s="453">
        <v>9500</v>
      </c>
    </row>
    <row r="52" spans="1:2" ht="60" customHeight="1" thickBot="1">
      <c r="A52" s="468" t="s">
        <v>932</v>
      </c>
      <c r="B52" s="451">
        <f>B53+B55+B54</f>
        <v>1404492</v>
      </c>
    </row>
    <row r="53" spans="1:2" ht="60" customHeight="1">
      <c r="A53" s="454" t="s">
        <v>665</v>
      </c>
      <c r="B53" s="453">
        <v>820040</v>
      </c>
    </row>
    <row r="54" spans="1:2" ht="90" customHeight="1">
      <c r="A54" s="460" t="s">
        <v>529</v>
      </c>
      <c r="B54" s="453">
        <v>62000</v>
      </c>
    </row>
    <row r="55" spans="1:2" ht="60" customHeight="1" thickBot="1">
      <c r="A55" s="460" t="s">
        <v>530</v>
      </c>
      <c r="B55" s="453">
        <v>522452</v>
      </c>
    </row>
    <row r="56" spans="1:2" ht="60" customHeight="1" thickBot="1">
      <c r="A56" s="450" t="s">
        <v>531</v>
      </c>
      <c r="B56" s="451">
        <f>SUM(B57:B60)</f>
        <v>1931698</v>
      </c>
    </row>
    <row r="57" spans="1:2" ht="63.75" customHeight="1">
      <c r="A57" s="454" t="s">
        <v>532</v>
      </c>
      <c r="B57" s="453">
        <v>1253715</v>
      </c>
    </row>
    <row r="58" spans="1:2" ht="60" customHeight="1">
      <c r="A58" s="469" t="s">
        <v>533</v>
      </c>
      <c r="B58" s="453">
        <v>127300</v>
      </c>
    </row>
    <row r="59" spans="1:2" ht="81" customHeight="1">
      <c r="A59" s="469" t="s">
        <v>529</v>
      </c>
      <c r="B59" s="453">
        <v>10000</v>
      </c>
    </row>
    <row r="60" spans="1:2" ht="60" customHeight="1">
      <c r="A60" s="460" t="s">
        <v>534</v>
      </c>
      <c r="B60" s="453">
        <v>540683</v>
      </c>
    </row>
    <row r="61" spans="1:2" ht="48.75" customHeight="1" thickBot="1">
      <c r="A61" s="468" t="s">
        <v>838</v>
      </c>
      <c r="B61" s="451">
        <f>SUM(B62:B64)</f>
        <v>673812</v>
      </c>
    </row>
    <row r="62" spans="1:2" ht="63.75" customHeight="1">
      <c r="A62" s="460" t="s">
        <v>535</v>
      </c>
      <c r="B62" s="453">
        <v>393760</v>
      </c>
    </row>
    <row r="63" spans="1:2" ht="90.75" customHeight="1">
      <c r="A63" s="460" t="s">
        <v>688</v>
      </c>
      <c r="B63" s="453">
        <f>114760+15192</f>
        <v>129952</v>
      </c>
    </row>
    <row r="64" spans="1:2" ht="140.25" customHeight="1">
      <c r="A64" s="460" t="s">
        <v>536</v>
      </c>
      <c r="B64" s="453">
        <v>150100</v>
      </c>
    </row>
    <row r="65" spans="1:2" ht="52.5" customHeight="1">
      <c r="A65" s="470" t="s">
        <v>210</v>
      </c>
      <c r="B65" s="451">
        <f>SUM(B66:B68)</f>
        <v>1230526</v>
      </c>
    </row>
    <row r="66" spans="1:2" ht="87.75" customHeight="1">
      <c r="A66" s="469" t="s">
        <v>688</v>
      </c>
      <c r="B66" s="453">
        <f>190000-105000</f>
        <v>85000</v>
      </c>
    </row>
    <row r="67" spans="1:2" ht="56.25" customHeight="1">
      <c r="A67" s="469" t="s">
        <v>537</v>
      </c>
      <c r="B67" s="453">
        <v>1064411</v>
      </c>
    </row>
    <row r="68" spans="1:2" ht="56.25" customHeight="1" thickBot="1">
      <c r="A68" s="454" t="s">
        <v>538</v>
      </c>
      <c r="B68" s="453">
        <v>81115</v>
      </c>
    </row>
    <row r="69" spans="1:2" ht="45.75" customHeight="1" thickBot="1">
      <c r="A69" s="471" t="s">
        <v>103</v>
      </c>
      <c r="B69" s="451">
        <f>SUM(B70:B74)</f>
        <v>1041257</v>
      </c>
    </row>
    <row r="70" spans="1:2" ht="96.75" customHeight="1">
      <c r="A70" s="460" t="s">
        <v>539</v>
      </c>
      <c r="B70" s="453">
        <f>379620-222000</f>
        <v>157620</v>
      </c>
    </row>
    <row r="71" spans="1:2" ht="85.5" customHeight="1">
      <c r="A71" s="460" t="s">
        <v>540</v>
      </c>
      <c r="B71" s="453">
        <v>759384</v>
      </c>
    </row>
    <row r="72" spans="1:2" ht="63" customHeight="1">
      <c r="A72" s="472" t="s">
        <v>541</v>
      </c>
      <c r="B72" s="453">
        <v>34200</v>
      </c>
    </row>
    <row r="73" spans="1:2" ht="63" customHeight="1">
      <c r="A73" s="454" t="s">
        <v>542</v>
      </c>
      <c r="B73" s="453">
        <v>21653</v>
      </c>
    </row>
    <row r="74" spans="1:2" ht="91.5" customHeight="1">
      <c r="A74" s="460" t="s">
        <v>529</v>
      </c>
      <c r="B74" s="453">
        <v>68400</v>
      </c>
    </row>
    <row r="75" spans="1:2" ht="54" customHeight="1">
      <c r="A75" s="470" t="s">
        <v>571</v>
      </c>
      <c r="B75" s="451">
        <f>SUM(B76:B78)</f>
        <v>140507</v>
      </c>
    </row>
    <row r="76" spans="1:2" ht="89.25" customHeight="1">
      <c r="A76" s="469" t="s">
        <v>688</v>
      </c>
      <c r="B76" s="453">
        <f>76000-2533</f>
        <v>73467</v>
      </c>
    </row>
    <row r="77" spans="1:2" ht="89.25" customHeight="1">
      <c r="A77" s="469" t="s">
        <v>667</v>
      </c>
      <c r="B77" s="453">
        <f>76000-22572</f>
        <v>53428</v>
      </c>
    </row>
    <row r="78" spans="1:2" ht="89.25" customHeight="1">
      <c r="A78" s="454" t="s">
        <v>543</v>
      </c>
      <c r="B78" s="453">
        <v>13612</v>
      </c>
    </row>
    <row r="79" spans="1:2" ht="41.25" customHeight="1">
      <c r="A79" s="470" t="s">
        <v>146</v>
      </c>
      <c r="B79" s="451">
        <f>SUM(B80:B83)</f>
        <v>187460</v>
      </c>
    </row>
    <row r="80" spans="1:2" ht="55.5" customHeight="1">
      <c r="A80" s="472" t="s">
        <v>680</v>
      </c>
      <c r="B80" s="453">
        <f>171000-150100</f>
        <v>20900</v>
      </c>
    </row>
    <row r="81" spans="1:2" ht="55.5" customHeight="1">
      <c r="A81" s="472" t="s">
        <v>672</v>
      </c>
      <c r="B81" s="453">
        <v>150100</v>
      </c>
    </row>
    <row r="82" spans="1:2" ht="81.75" customHeight="1">
      <c r="A82" s="469" t="s">
        <v>688</v>
      </c>
      <c r="B82" s="453">
        <v>10000</v>
      </c>
    </row>
    <row r="83" spans="1:2" ht="55.5" customHeight="1">
      <c r="A83" s="469" t="s">
        <v>675</v>
      </c>
      <c r="B83" s="453">
        <v>6460</v>
      </c>
    </row>
    <row r="84" spans="1:2" ht="68.25" customHeight="1">
      <c r="A84" s="473" t="s">
        <v>559</v>
      </c>
      <c r="B84" s="451">
        <f>B85</f>
        <v>167200</v>
      </c>
    </row>
    <row r="85" spans="1:2" ht="55.5" customHeight="1">
      <c r="A85" s="472" t="s">
        <v>544</v>
      </c>
      <c r="B85" s="453">
        <v>167200</v>
      </c>
    </row>
    <row r="86" spans="1:2" ht="41.25" customHeight="1" thickBot="1">
      <c r="A86" s="474" t="s">
        <v>495</v>
      </c>
      <c r="B86" s="451">
        <f>B12+B21+B30+B34+B43+B52+B56+B61+B65+B69+B75+B79+B84</f>
        <v>45990397</v>
      </c>
    </row>
    <row r="87" spans="1:2" ht="27">
      <c r="A87" s="475"/>
      <c r="B87" s="476"/>
    </row>
    <row r="88" spans="1:2" ht="27">
      <c r="A88" s="477"/>
      <c r="B88" s="478"/>
    </row>
    <row r="89" spans="1:4" ht="25.5">
      <c r="A89" s="399"/>
      <c r="B89" s="399"/>
      <c r="C89" s="399"/>
      <c r="D89" s="479"/>
    </row>
    <row r="90" spans="1:2" ht="27">
      <c r="A90" s="480"/>
      <c r="B90" s="447"/>
    </row>
    <row r="91" spans="1:2" ht="27">
      <c r="A91" s="480"/>
      <c r="B91" s="447"/>
    </row>
    <row r="92" spans="1:2" ht="27">
      <c r="A92" s="480"/>
      <c r="B92" s="447"/>
    </row>
    <row r="93" spans="1:2" ht="27">
      <c r="A93" s="480"/>
      <c r="B93" s="447"/>
    </row>
    <row r="94" spans="1:2" ht="27">
      <c r="A94" s="480"/>
      <c r="B94" s="447"/>
    </row>
    <row r="95" spans="1:2" ht="27">
      <c r="A95" s="480"/>
      <c r="B95" s="447"/>
    </row>
    <row r="96" spans="1:2" ht="27">
      <c r="A96" s="480"/>
      <c r="B96" s="447"/>
    </row>
    <row r="97" spans="1:2" ht="27">
      <c r="A97" s="480"/>
      <c r="B97" s="447"/>
    </row>
    <row r="98" spans="1:2" ht="27">
      <c r="A98" s="480"/>
      <c r="B98" s="447"/>
    </row>
    <row r="99" spans="1:2" ht="27">
      <c r="A99" s="480"/>
      <c r="B99" s="447"/>
    </row>
    <row r="100" spans="1:2" ht="27">
      <c r="A100" s="480"/>
      <c r="B100" s="447"/>
    </row>
    <row r="101" spans="1:2" ht="27">
      <c r="A101" s="480"/>
      <c r="B101" s="447"/>
    </row>
    <row r="102" spans="1:2" ht="27">
      <c r="A102" s="480"/>
      <c r="B102" s="447"/>
    </row>
    <row r="103" spans="1:2" ht="27">
      <c r="A103" s="480"/>
      <c r="B103" s="447"/>
    </row>
    <row r="104" spans="1:2" ht="27">
      <c r="A104" s="480"/>
      <c r="B104" s="447"/>
    </row>
    <row r="105" spans="1:2" ht="27">
      <c r="A105" s="480"/>
      <c r="B105" s="447"/>
    </row>
    <row r="106" spans="1:2" ht="27">
      <c r="A106" s="480"/>
      <c r="B106" s="447"/>
    </row>
    <row r="107" spans="1:2" ht="27">
      <c r="A107" s="480"/>
      <c r="B107" s="447"/>
    </row>
    <row r="108" spans="1:2" ht="27">
      <c r="A108" s="480"/>
      <c r="B108" s="447"/>
    </row>
    <row r="109" spans="1:2" ht="27">
      <c r="A109" s="480"/>
      <c r="B109" s="447"/>
    </row>
    <row r="110" spans="1:2" ht="27">
      <c r="A110" s="480"/>
      <c r="B110" s="447"/>
    </row>
    <row r="111" spans="1:2" ht="27">
      <c r="A111" s="480"/>
      <c r="B111" s="447"/>
    </row>
    <row r="112" spans="1:2" ht="27">
      <c r="A112" s="480"/>
      <c r="B112" s="447"/>
    </row>
    <row r="113" spans="1:2" ht="27">
      <c r="A113" s="480"/>
      <c r="B113" s="447"/>
    </row>
    <row r="114" spans="1:2" ht="27">
      <c r="A114" s="480"/>
      <c r="B114" s="447"/>
    </row>
    <row r="115" spans="1:2" ht="27">
      <c r="A115" s="480"/>
      <c r="B115" s="447"/>
    </row>
    <row r="116" spans="1:2" ht="27">
      <c r="A116" s="480"/>
      <c r="B116" s="447"/>
    </row>
    <row r="117" spans="1:2" ht="27">
      <c r="A117" s="480"/>
      <c r="B117" s="447"/>
    </row>
    <row r="118" spans="1:2" ht="27">
      <c r="A118" s="480"/>
      <c r="B118" s="447"/>
    </row>
    <row r="119" spans="1:2" ht="27">
      <c r="A119" s="480"/>
      <c r="B119" s="447"/>
    </row>
    <row r="120" spans="1:2" ht="27">
      <c r="A120" s="480"/>
      <c r="B120" s="447"/>
    </row>
    <row r="121" spans="1:2" ht="27">
      <c r="A121" s="480"/>
      <c r="B121" s="447"/>
    </row>
    <row r="122" spans="1:2" ht="27">
      <c r="A122" s="480"/>
      <c r="B122" s="447"/>
    </row>
    <row r="123" spans="1:2" ht="27">
      <c r="A123" s="480"/>
      <c r="B123" s="447"/>
    </row>
    <row r="124" spans="1:2" ht="27">
      <c r="A124" s="480"/>
      <c r="B124" s="447"/>
    </row>
    <row r="125" spans="1:2" ht="27">
      <c r="A125" s="480"/>
      <c r="B125" s="447"/>
    </row>
    <row r="126" spans="1:2" ht="27">
      <c r="A126" s="480"/>
      <c r="B126" s="447"/>
    </row>
    <row r="127" spans="1:2" ht="27">
      <c r="A127" s="480"/>
      <c r="B127" s="447"/>
    </row>
    <row r="128" spans="1:2" ht="27">
      <c r="A128" s="480"/>
      <c r="B128" s="447"/>
    </row>
    <row r="129" spans="1:2" ht="27">
      <c r="A129" s="480"/>
      <c r="B129" s="447"/>
    </row>
    <row r="130" spans="1:2" ht="27">
      <c r="A130" s="480"/>
      <c r="B130" s="447"/>
    </row>
    <row r="131" spans="1:2" ht="27">
      <c r="A131" s="480"/>
      <c r="B131" s="447"/>
    </row>
    <row r="132" spans="1:2" ht="27">
      <c r="A132" s="480"/>
      <c r="B132" s="447"/>
    </row>
    <row r="133" spans="1:2" ht="27">
      <c r="A133" s="480"/>
      <c r="B133" s="447"/>
    </row>
    <row r="134" spans="1:2" ht="27">
      <c r="A134" s="480"/>
      <c r="B134" s="447"/>
    </row>
    <row r="135" spans="1:2" ht="27">
      <c r="A135" s="480"/>
      <c r="B135" s="447"/>
    </row>
    <row r="136" spans="1:2" ht="27">
      <c r="A136" s="480"/>
      <c r="B136" s="447"/>
    </row>
    <row r="137" ht="27">
      <c r="B137" s="447"/>
    </row>
    <row r="138" ht="25.5">
      <c r="B138" s="481"/>
    </row>
    <row r="139" ht="25.5">
      <c r="B139" s="481"/>
    </row>
    <row r="140" ht="25.5">
      <c r="B140" s="481"/>
    </row>
    <row r="141" ht="25.5">
      <c r="B141" s="481"/>
    </row>
    <row r="142" ht="25.5">
      <c r="B142" s="481"/>
    </row>
    <row r="143" ht="25.5">
      <c r="B143" s="481"/>
    </row>
    <row r="144" ht="25.5">
      <c r="B144" s="481"/>
    </row>
    <row r="145" ht="25.5">
      <c r="B145" s="481"/>
    </row>
    <row r="146" ht="25.5">
      <c r="B146" s="481"/>
    </row>
    <row r="147" ht="25.5">
      <c r="B147" s="481"/>
    </row>
    <row r="148" ht="25.5">
      <c r="B148" s="481"/>
    </row>
    <row r="149" ht="25.5">
      <c r="B149" s="481"/>
    </row>
    <row r="150" ht="25.5">
      <c r="B150" s="481"/>
    </row>
    <row r="151" ht="25.5">
      <c r="B151" s="481"/>
    </row>
    <row r="152" ht="25.5">
      <c r="B152" s="481"/>
    </row>
    <row r="153" ht="25.5">
      <c r="B153" s="481"/>
    </row>
    <row r="154" ht="25.5">
      <c r="B154" s="481"/>
    </row>
    <row r="155" ht="25.5">
      <c r="B155" s="481"/>
    </row>
    <row r="156" ht="25.5">
      <c r="B156" s="481"/>
    </row>
    <row r="157" ht="25.5">
      <c r="B157" s="481"/>
    </row>
    <row r="158" ht="25.5">
      <c r="B158" s="481"/>
    </row>
    <row r="159" ht="25.5">
      <c r="B159" s="481"/>
    </row>
    <row r="160" ht="25.5">
      <c r="B160" s="481"/>
    </row>
    <row r="161" ht="25.5">
      <c r="B161" s="481"/>
    </row>
    <row r="162" ht="25.5">
      <c r="B162" s="481"/>
    </row>
    <row r="163" ht="25.5">
      <c r="B163" s="481"/>
    </row>
    <row r="164" ht="25.5">
      <c r="B164" s="481"/>
    </row>
    <row r="165" ht="25.5">
      <c r="B165" s="481"/>
    </row>
    <row r="166" ht="25.5">
      <c r="B166" s="481"/>
    </row>
    <row r="167" ht="25.5">
      <c r="B167" s="481"/>
    </row>
    <row r="168" ht="25.5">
      <c r="B168" s="481"/>
    </row>
    <row r="169" ht="25.5">
      <c r="B169" s="481"/>
    </row>
    <row r="170" ht="25.5">
      <c r="B170" s="481"/>
    </row>
    <row r="171" ht="25.5">
      <c r="B171" s="481"/>
    </row>
    <row r="172" ht="25.5">
      <c r="B172" s="481"/>
    </row>
    <row r="173" ht="25.5">
      <c r="B173" s="481"/>
    </row>
    <row r="174" ht="25.5">
      <c r="B174" s="481"/>
    </row>
    <row r="175" ht="25.5">
      <c r="B175" s="481"/>
    </row>
    <row r="176" ht="25.5">
      <c r="B176" s="481"/>
    </row>
    <row r="177" ht="25.5">
      <c r="B177" s="481"/>
    </row>
    <row r="178" ht="25.5">
      <c r="B178" s="481"/>
    </row>
    <row r="179" ht="25.5">
      <c r="B179" s="481"/>
    </row>
    <row r="180" ht="25.5">
      <c r="B180" s="481"/>
    </row>
    <row r="181" ht="25.5">
      <c r="B181" s="481"/>
    </row>
    <row r="182" ht="25.5">
      <c r="B182" s="481"/>
    </row>
    <row r="183" ht="25.5">
      <c r="B183" s="481"/>
    </row>
    <row r="184" ht="25.5">
      <c r="B184" s="481"/>
    </row>
    <row r="185" ht="25.5">
      <c r="B185" s="481"/>
    </row>
    <row r="186" ht="25.5">
      <c r="B186" s="481"/>
    </row>
    <row r="187" ht="25.5">
      <c r="B187" s="481"/>
    </row>
    <row r="188" ht="25.5">
      <c r="B188" s="481"/>
    </row>
    <row r="189" ht="25.5">
      <c r="B189" s="481"/>
    </row>
  </sheetData>
  <mergeCells count="3">
    <mergeCell ref="A7:B7"/>
    <mergeCell ref="A8:B8"/>
    <mergeCell ref="A10:B10"/>
  </mergeCells>
  <printOptions/>
  <pageMargins left="0.75" right="0.75" top="1" bottom="1" header="0.5" footer="0.5"/>
  <pageSetup horizontalDpi="600" verticalDpi="600" orientation="portrait" paperSize="9" scale="33" r:id="rId1"/>
</worksheet>
</file>

<file path=xl/worksheets/sheet2.xml><?xml version="1.0" encoding="utf-8"?>
<worksheet xmlns="http://schemas.openxmlformats.org/spreadsheetml/2006/main" xmlns:r="http://schemas.openxmlformats.org/officeDocument/2006/relationships">
  <dimension ref="A1:M214"/>
  <sheetViews>
    <sheetView view="pageBreakPreview" zoomScaleNormal="90" zoomScaleSheetLayoutView="100" zoomScalePageLayoutView="0" workbookViewId="0" topLeftCell="A1">
      <selection activeCell="B3" sqref="B3"/>
    </sheetView>
  </sheetViews>
  <sheetFormatPr defaultColWidth="9.140625" defaultRowHeight="12.75"/>
  <cols>
    <col min="1" max="1" width="9.140625" style="10" customWidth="1"/>
    <col min="2" max="2" width="39.00390625" style="15" customWidth="1"/>
    <col min="3" max="3" width="13.7109375" style="10" bestFit="1" customWidth="1"/>
    <col min="4" max="4" width="12.57421875" style="10" bestFit="1" customWidth="1"/>
    <col min="5" max="5" width="13.57421875" style="10" customWidth="1"/>
    <col min="6" max="6" width="12.57421875" style="10" bestFit="1" customWidth="1"/>
    <col min="7" max="7" width="11.57421875" style="10" bestFit="1" customWidth="1"/>
    <col min="8" max="8" width="10.57421875" style="10" bestFit="1" customWidth="1"/>
    <col min="9" max="9" width="13.421875" style="10" customWidth="1"/>
    <col min="10" max="11" width="12.57421875" style="10" bestFit="1" customWidth="1"/>
    <col min="12" max="12" width="14.140625" style="10" customWidth="1"/>
    <col min="13" max="13" width="13.7109375" style="10" bestFit="1" customWidth="1"/>
    <col min="14" max="16384" width="9.140625" style="10" customWidth="1"/>
  </cols>
  <sheetData>
    <row r="1" ht="15.75">
      <c r="K1" s="12" t="s">
        <v>456</v>
      </c>
    </row>
    <row r="2" ht="15.75">
      <c r="K2" s="12" t="s">
        <v>143</v>
      </c>
    </row>
    <row r="3" ht="15.75">
      <c r="K3" s="12" t="s">
        <v>553</v>
      </c>
    </row>
    <row r="4" ht="15.75">
      <c r="K4" s="12" t="s">
        <v>578</v>
      </c>
    </row>
    <row r="5" spans="11:12" ht="15.75">
      <c r="K5" s="709" t="s">
        <v>778</v>
      </c>
      <c r="L5" s="99"/>
    </row>
    <row r="6" ht="12.75">
      <c r="K6" s="11"/>
    </row>
    <row r="7" spans="1:13" ht="15.75">
      <c r="A7" s="605" t="s">
        <v>575</v>
      </c>
      <c r="B7" s="606"/>
      <c r="C7" s="606"/>
      <c r="D7" s="606"/>
      <c r="E7" s="606"/>
      <c r="F7" s="606"/>
      <c r="G7" s="606"/>
      <c r="H7" s="606"/>
      <c r="I7" s="606"/>
      <c r="J7" s="606"/>
      <c r="K7" s="606"/>
      <c r="L7" s="606"/>
      <c r="M7" s="606"/>
    </row>
    <row r="8" spans="1:13" ht="12.75">
      <c r="A8" s="607"/>
      <c r="B8" s="608"/>
      <c r="C8" s="608"/>
      <c r="D8" s="608"/>
      <c r="E8" s="608"/>
      <c r="F8" s="608"/>
      <c r="G8" s="608"/>
      <c r="H8" s="608"/>
      <c r="I8" s="608"/>
      <c r="J8" s="608"/>
      <c r="K8" s="608"/>
      <c r="L8" s="608"/>
      <c r="M8" s="608"/>
    </row>
    <row r="9" ht="12.75">
      <c r="M9" s="16" t="s">
        <v>554</v>
      </c>
    </row>
    <row r="10" spans="1:13" ht="15">
      <c r="A10" s="609" t="s">
        <v>588</v>
      </c>
      <c r="B10" s="603" t="s">
        <v>589</v>
      </c>
      <c r="C10" s="603" t="s">
        <v>186</v>
      </c>
      <c r="D10" s="603"/>
      <c r="E10" s="603"/>
      <c r="F10" s="603" t="s">
        <v>654</v>
      </c>
      <c r="G10" s="603"/>
      <c r="H10" s="603"/>
      <c r="I10" s="603"/>
      <c r="J10" s="603"/>
      <c r="K10" s="603"/>
      <c r="L10" s="603"/>
      <c r="M10" s="602" t="s">
        <v>496</v>
      </c>
    </row>
    <row r="11" spans="1:13" ht="12.75">
      <c r="A11" s="604"/>
      <c r="B11" s="603"/>
      <c r="C11" s="603" t="s">
        <v>495</v>
      </c>
      <c r="D11" s="604" t="s">
        <v>655</v>
      </c>
      <c r="E11" s="604"/>
      <c r="F11" s="603" t="s">
        <v>495</v>
      </c>
      <c r="G11" s="604" t="s">
        <v>640</v>
      </c>
      <c r="H11" s="604" t="s">
        <v>655</v>
      </c>
      <c r="I11" s="604"/>
      <c r="J11" s="604" t="s">
        <v>641</v>
      </c>
      <c r="K11" s="604" t="s">
        <v>655</v>
      </c>
      <c r="L11" s="604"/>
      <c r="M11" s="602"/>
    </row>
    <row r="12" spans="1:13" ht="12.75" customHeight="1">
      <c r="A12" s="604"/>
      <c r="B12" s="603"/>
      <c r="C12" s="603"/>
      <c r="D12" s="604" t="s">
        <v>555</v>
      </c>
      <c r="E12" s="604" t="s">
        <v>639</v>
      </c>
      <c r="F12" s="603"/>
      <c r="G12" s="604"/>
      <c r="H12" s="604" t="s">
        <v>555</v>
      </c>
      <c r="I12" s="604" t="s">
        <v>639</v>
      </c>
      <c r="J12" s="604"/>
      <c r="K12" s="604" t="s">
        <v>642</v>
      </c>
      <c r="L12" s="19" t="s">
        <v>655</v>
      </c>
      <c r="M12" s="602"/>
    </row>
    <row r="13" spans="1:13" ht="63.75" customHeight="1">
      <c r="A13" s="604"/>
      <c r="B13" s="603"/>
      <c r="C13" s="603"/>
      <c r="D13" s="604"/>
      <c r="E13" s="604"/>
      <c r="F13" s="603"/>
      <c r="G13" s="604"/>
      <c r="H13" s="604"/>
      <c r="I13" s="604"/>
      <c r="J13" s="604"/>
      <c r="K13" s="604"/>
      <c r="L13" s="17" t="s">
        <v>796</v>
      </c>
      <c r="M13" s="602"/>
    </row>
    <row r="14" spans="1:13" ht="12.75">
      <c r="A14" s="19">
        <v>1</v>
      </c>
      <c r="B14" s="19">
        <v>2</v>
      </c>
      <c r="C14" s="19">
        <v>3</v>
      </c>
      <c r="D14" s="19">
        <v>4</v>
      </c>
      <c r="E14" s="19">
        <v>5</v>
      </c>
      <c r="F14" s="19">
        <v>6</v>
      </c>
      <c r="G14" s="19">
        <v>7</v>
      </c>
      <c r="H14" s="19">
        <v>8</v>
      </c>
      <c r="I14" s="19">
        <v>9</v>
      </c>
      <c r="J14" s="19">
        <v>10</v>
      </c>
      <c r="K14" s="19">
        <v>11</v>
      </c>
      <c r="L14" s="19">
        <v>12</v>
      </c>
      <c r="M14" s="18" t="s">
        <v>273</v>
      </c>
    </row>
    <row r="15" spans="1:13" ht="12.75">
      <c r="A15" s="20" t="s">
        <v>556</v>
      </c>
      <c r="B15" s="6" t="s">
        <v>590</v>
      </c>
      <c r="C15" s="21">
        <f>SUM(C16+C17+C18)</f>
        <v>134098913</v>
      </c>
      <c r="D15" s="21">
        <f>SUM(D16+D17+D18)</f>
        <v>96604642.76</v>
      </c>
      <c r="E15" s="21">
        <f>SUM(E16+E17+E18)</f>
        <v>2800677.16</v>
      </c>
      <c r="F15" s="21">
        <f>SUM(F16)</f>
        <v>1608040</v>
      </c>
      <c r="G15" s="21">
        <v>1179140</v>
      </c>
      <c r="H15" s="21">
        <v>476900</v>
      </c>
      <c r="I15" s="21">
        <v>174800</v>
      </c>
      <c r="J15" s="21">
        <f>SUM(J16)</f>
        <v>428900</v>
      </c>
      <c r="K15" s="21">
        <f>SUM(K16)</f>
        <v>292100</v>
      </c>
      <c r="L15" s="21">
        <f>SUM(L16)</f>
        <v>292100</v>
      </c>
      <c r="M15" s="21">
        <f aca="true" t="shared" si="0" ref="M15:M56">C15+F15</f>
        <v>135706953</v>
      </c>
    </row>
    <row r="16" spans="1:13" ht="12.75">
      <c r="A16" s="22" t="s">
        <v>274</v>
      </c>
      <c r="B16" s="1" t="s">
        <v>497</v>
      </c>
      <c r="C16" s="23">
        <f>Прил3!C16+Прил3!C26+Прил3!C48+Прил3!C62+Прил3!C76+Прил3!C107+Прил3!C216+Прил3!C220+Прил3!C228+Прил3!C230+Прил3!C245+Прил3!C250+Прил3!C261+Прил3!C279+Прил3!C288+Прил3!C299+Прил3!C309+Прил3!C317+'Прил3.1'!C16+'Прил3.1'!C18</f>
        <v>130389713</v>
      </c>
      <c r="D16" s="23">
        <f>Прил3!D16+Прил3!D26+Прил3!D48+Прил3!D62+Прил3!D76+Прил3!D107+Прил3!D216+Прил3!D220+Прил3!D228+Прил3!D230+Прил3!D245+Прил3!D250+Прил3!D261+Прил3!D279+Прил3!D288+Прил3!D299+Прил3!D309+Прил3!D317+'Прил3.1'!D16+'Прил3.1'!D18</f>
        <v>93853442.76</v>
      </c>
      <c r="E16" s="23">
        <f>Прил3!E16+Прил3!E26+Прил3!E48+Прил3!E62+Прил3!E76+Прил3!E107+Прил3!E216+Прил3!E220+Прил3!E228+Прил3!E230+Прил3!E245+Прил3!E250+Прил3!E261+Прил3!E279+Прил3!E288+Прил3!E299+Прил3!E309+Прил3!E317</f>
        <v>2743720.16</v>
      </c>
      <c r="F16" s="23">
        <f>Прил3!F16+Прил3!F26+Прил3!F48+Прил3!F62+Прил3!F76+Прил3!F107+Прил3!F216+Прил3!F220+Прил3!F228+Прил3!F230+Прил3!F245+Прил3!F250+Прил3!F261+Прил3!F279+Прил3!F288+Прил3!F299+Прил3!F309+Прил3!F317</f>
        <v>1608040</v>
      </c>
      <c r="G16" s="23">
        <f>Прил3!G16+Прил3!G26+Прил3!G48+Прил3!G62+Прил3!G76+Прил3!G107+Прил3!G216+Прил3!G220+Прил3!G228+Прил3!G230+Прил3!G245+Прил3!G250+Прил3!G261+Прил3!G279+Прил3!G288+Прил3!G299+Прил3!G309+Прил3!G317</f>
        <v>1179140</v>
      </c>
      <c r="H16" s="23">
        <f>Прил3!H16+Прил3!H26+Прил3!H48+Прил3!H62+Прил3!H76+Прил3!H107+Прил3!H216+Прил3!H220+Прил3!H228+Прил3!H230+Прил3!H245+Прил3!H250+Прил3!H261+Прил3!H279+Прил3!H288+Прил3!H299+Прил3!H309+Прил3!H317</f>
        <v>476900</v>
      </c>
      <c r="I16" s="23">
        <f>Прил3!I16+Прил3!I26+Прил3!I48+Прил3!I62+Прил3!I76+Прил3!I107+Прил3!I216+Прил3!I220+Прил3!I228+Прил3!I230+Прил3!I245+Прил3!I250+Прил3!I261+Прил3!I279+Прил3!I288+Прил3!I299+Прил3!I309+Прил3!I317</f>
        <v>174800</v>
      </c>
      <c r="J16" s="23">
        <f>Прил3!J16+Прил3!J26+Прил3!J48+Прил3!J62+Прил3!J76+Прил3!J107+Прил3!J216+Прил3!J220+Прил3!J228+Прил3!J230+Прил3!J245+Прил3!J250+Прил3!J261+Прил3!J279+Прил3!J288+Прил3!J299+Прил3!J309+Прил3!J317</f>
        <v>428900</v>
      </c>
      <c r="K16" s="23">
        <f>Прил3!K16+Прил3!K26+Прил3!K48+Прил3!K62+Прил3!K76+Прил3!K107+Прил3!K216+Прил3!K220+Прил3!K228+Прил3!K230+Прил3!K245+Прил3!K250+Прил3!K261+Прил3!K279+Прил3!K288+Прил3!K299+Прил3!K309+Прил3!K317</f>
        <v>292100</v>
      </c>
      <c r="L16" s="23">
        <f>Прил3!L16+Прил3!L26+Прил3!L48+Прил3!L62+Прил3!L76+Прил3!L107+Прил3!L216+Прил3!L220+Прил3!L228+Прил3!L230+Прил3!L245+Прил3!L250+Прил3!L261+Прил3!L279+Прил3!L288+Прил3!L299+Прил3!L309+Прил3!L317</f>
        <v>292100</v>
      </c>
      <c r="M16" s="24">
        <f t="shared" si="0"/>
        <v>131997753</v>
      </c>
    </row>
    <row r="17" spans="1:13" ht="76.5">
      <c r="A17" s="43">
        <v>10116</v>
      </c>
      <c r="B17" s="2" t="s">
        <v>53</v>
      </c>
      <c r="C17" s="23">
        <f>SUM(Прил3!C108)</f>
        <v>3602400</v>
      </c>
      <c r="D17" s="23">
        <f>SUM(Прил3!D108)</f>
        <v>2720000</v>
      </c>
      <c r="E17" s="23">
        <f>SUM(Прил3!E108)</f>
        <v>42000</v>
      </c>
      <c r="F17" s="23"/>
      <c r="G17" s="23"/>
      <c r="H17" s="23"/>
      <c r="I17" s="23"/>
      <c r="J17" s="23"/>
      <c r="K17" s="23"/>
      <c r="L17" s="23"/>
      <c r="M17" s="24">
        <f t="shared" si="0"/>
        <v>3602400</v>
      </c>
    </row>
    <row r="18" spans="1:13" ht="69" customHeight="1">
      <c r="A18" s="43">
        <v>10116</v>
      </c>
      <c r="B18" s="2" t="s">
        <v>52</v>
      </c>
      <c r="C18" s="23">
        <f>SUM(Прил3!C246)</f>
        <v>106800</v>
      </c>
      <c r="D18" s="23">
        <f>SUM(Прил3!D246)</f>
        <v>31200</v>
      </c>
      <c r="E18" s="23">
        <f>SUM(Прил3!E246)</f>
        <v>14957</v>
      </c>
      <c r="F18" s="23"/>
      <c r="G18" s="23"/>
      <c r="H18" s="23"/>
      <c r="I18" s="23"/>
      <c r="J18" s="23"/>
      <c r="K18" s="23"/>
      <c r="L18" s="23"/>
      <c r="M18" s="24">
        <f t="shared" si="0"/>
        <v>106800</v>
      </c>
    </row>
    <row r="19" spans="1:13" ht="12.75">
      <c r="A19" s="20" t="s">
        <v>278</v>
      </c>
      <c r="B19" s="5" t="s">
        <v>500</v>
      </c>
      <c r="C19" s="21">
        <f>C20+C21+C23+C26+C27+C28+C29+C30</f>
        <v>684069253.65</v>
      </c>
      <c r="D19" s="21">
        <f>SUM(D20:D30)</f>
        <v>438017477.52</v>
      </c>
      <c r="E19" s="21">
        <f aca="true" t="shared" si="1" ref="E19:K19">E20+E21+E23+E26+E27+E28+E29+E30</f>
        <v>45105660</v>
      </c>
      <c r="F19" s="21">
        <f t="shared" si="1"/>
        <v>21874320</v>
      </c>
      <c r="G19" s="21">
        <f t="shared" si="1"/>
        <v>21874320</v>
      </c>
      <c r="H19" s="21">
        <f t="shared" si="1"/>
        <v>0</v>
      </c>
      <c r="I19" s="21">
        <f t="shared" si="1"/>
        <v>304760</v>
      </c>
      <c r="J19" s="21">
        <f t="shared" si="1"/>
        <v>0</v>
      </c>
      <c r="K19" s="21">
        <f t="shared" si="1"/>
        <v>0</v>
      </c>
      <c r="L19" s="21"/>
      <c r="M19" s="21">
        <f t="shared" si="0"/>
        <v>705943573.65</v>
      </c>
    </row>
    <row r="20" spans="1:13" ht="12.75">
      <c r="A20" s="22" t="s">
        <v>279</v>
      </c>
      <c r="B20" s="1" t="s">
        <v>695</v>
      </c>
      <c r="C20" s="23">
        <f>Прил3!C28</f>
        <v>216564131</v>
      </c>
      <c r="D20" s="23">
        <f>Прил3!D28</f>
        <v>135723391</v>
      </c>
      <c r="E20" s="23">
        <f>Прил3!E28</f>
        <v>19283860</v>
      </c>
      <c r="F20" s="23">
        <f>Прил3!F28</f>
        <v>19877040</v>
      </c>
      <c r="G20" s="23">
        <f>Прил3!G28</f>
        <v>19877040</v>
      </c>
      <c r="H20" s="23">
        <f>Прил3!H28</f>
        <v>0</v>
      </c>
      <c r="I20" s="23">
        <f>Прил3!I28</f>
        <v>3040</v>
      </c>
      <c r="J20" s="23">
        <f>Прил3!J28</f>
        <v>0</v>
      </c>
      <c r="K20" s="23">
        <f>Прил3!K28</f>
        <v>0</v>
      </c>
      <c r="L20" s="23"/>
      <c r="M20" s="24">
        <f t="shared" si="0"/>
        <v>236441171</v>
      </c>
    </row>
    <row r="21" spans="1:13" ht="51">
      <c r="A21" s="22" t="s">
        <v>246</v>
      </c>
      <c r="B21" s="1" t="s">
        <v>319</v>
      </c>
      <c r="C21" s="23">
        <f>SUM(Прил3!C29)</f>
        <v>417522818</v>
      </c>
      <c r="D21" s="23">
        <f>SUM(Прил3!D29)</f>
        <v>272784765</v>
      </c>
      <c r="E21" s="23">
        <f>SUM(Прил3!E29)</f>
        <v>25097120</v>
      </c>
      <c r="F21" s="23">
        <f>SUM(Прил3!F29)</f>
        <v>1964220</v>
      </c>
      <c r="G21" s="23">
        <f>SUM(Прил3!G29)</f>
        <v>1964220</v>
      </c>
      <c r="H21" s="23">
        <f>SUM(Прил3!H29)</f>
        <v>0</v>
      </c>
      <c r="I21" s="23">
        <f>SUM(Прил3!I29)</f>
        <v>301720</v>
      </c>
      <c r="J21" s="23">
        <f>SUM(Прил3!J29)</f>
        <v>0</v>
      </c>
      <c r="K21" s="23">
        <f>SUM(Прил3!K29)</f>
        <v>0</v>
      </c>
      <c r="L21" s="23"/>
      <c r="M21" s="24">
        <f t="shared" si="0"/>
        <v>419487038</v>
      </c>
    </row>
    <row r="22" spans="1:13" ht="51">
      <c r="A22" s="22"/>
      <c r="B22" s="2" t="s">
        <v>557</v>
      </c>
      <c r="C22" s="23">
        <v>5714440</v>
      </c>
      <c r="D22" s="23">
        <v>0</v>
      </c>
      <c r="E22" s="23">
        <v>0</v>
      </c>
      <c r="F22" s="23">
        <v>0</v>
      </c>
      <c r="G22" s="23">
        <v>0</v>
      </c>
      <c r="H22" s="23">
        <v>0</v>
      </c>
      <c r="I22" s="23">
        <v>0</v>
      </c>
      <c r="J22" s="23">
        <v>0</v>
      </c>
      <c r="K22" s="23">
        <v>0</v>
      </c>
      <c r="L22" s="23"/>
      <c r="M22" s="24">
        <f t="shared" si="0"/>
        <v>5714440</v>
      </c>
    </row>
    <row r="23" spans="1:13" ht="25.5">
      <c r="A23" s="22" t="s">
        <v>825</v>
      </c>
      <c r="B23" s="1" t="s">
        <v>822</v>
      </c>
      <c r="C23" s="23">
        <f>SUM(Прил3!C109+Прил3!C217)</f>
        <v>8254022.65</v>
      </c>
      <c r="D23" s="23">
        <f>SUM(Прил3!D217)</f>
        <v>33261.520000000004</v>
      </c>
      <c r="E23" s="23">
        <f>SUM(Прил3!E109)</f>
        <v>0</v>
      </c>
      <c r="F23" s="23">
        <f>SUM(Прил3!F109)</f>
        <v>0</v>
      </c>
      <c r="G23" s="23">
        <f>SUM(Прил3!G109)</f>
        <v>0</v>
      </c>
      <c r="H23" s="23">
        <f>SUM(Прил3!H109)</f>
        <v>0</v>
      </c>
      <c r="I23" s="23">
        <f>SUM(Прил3!I109)</f>
        <v>0</v>
      </c>
      <c r="J23" s="23">
        <f>SUM(Прил3!J109)</f>
        <v>0</v>
      </c>
      <c r="K23" s="23">
        <f>SUM(Прил3!K109)</f>
        <v>0</v>
      </c>
      <c r="L23" s="23"/>
      <c r="M23" s="24">
        <f t="shared" si="0"/>
        <v>8254022.65</v>
      </c>
    </row>
    <row r="24" spans="1:13" ht="102">
      <c r="A24" s="22"/>
      <c r="B24" s="1" t="s">
        <v>821</v>
      </c>
      <c r="C24" s="23">
        <f>SUM(Прил3!C110)</f>
        <v>1760160</v>
      </c>
      <c r="D24" s="23">
        <v>0</v>
      </c>
      <c r="E24" s="23">
        <v>0</v>
      </c>
      <c r="F24" s="23">
        <v>0</v>
      </c>
      <c r="G24" s="23">
        <v>0</v>
      </c>
      <c r="H24" s="23">
        <v>0</v>
      </c>
      <c r="I24" s="23">
        <v>0</v>
      </c>
      <c r="J24" s="23">
        <v>0</v>
      </c>
      <c r="K24" s="23">
        <v>0</v>
      </c>
      <c r="L24" s="23"/>
      <c r="M24" s="24">
        <f t="shared" si="0"/>
        <v>1760160</v>
      </c>
    </row>
    <row r="25" spans="1:13" ht="102">
      <c r="A25" s="22"/>
      <c r="B25" s="1" t="s">
        <v>558</v>
      </c>
      <c r="C25" s="23">
        <f>SUM(Прил3!C111)</f>
        <v>6447840</v>
      </c>
      <c r="D25" s="23">
        <v>0</v>
      </c>
      <c r="E25" s="23">
        <v>0</v>
      </c>
      <c r="F25" s="23">
        <v>0</v>
      </c>
      <c r="G25" s="23">
        <v>0</v>
      </c>
      <c r="H25" s="23">
        <v>0</v>
      </c>
      <c r="I25" s="23">
        <v>0</v>
      </c>
      <c r="J25" s="23">
        <v>0</v>
      </c>
      <c r="K25" s="23">
        <v>0</v>
      </c>
      <c r="L25" s="23"/>
      <c r="M25" s="24">
        <f t="shared" si="0"/>
        <v>6447840</v>
      </c>
    </row>
    <row r="26" spans="1:13" ht="27" customHeight="1">
      <c r="A26" s="22" t="s">
        <v>280</v>
      </c>
      <c r="B26" s="1" t="s">
        <v>142</v>
      </c>
      <c r="C26" s="23">
        <f>SUM(Прил3!C31)</f>
        <v>23660811</v>
      </c>
      <c r="D26" s="23">
        <f>SUM(Прил3!D31)</f>
        <v>16964240</v>
      </c>
      <c r="E26" s="23">
        <f>SUM(Прил3!E31)</f>
        <v>459440</v>
      </c>
      <c r="F26" s="23">
        <f>SUM(Прил3!F31)</f>
        <v>33060</v>
      </c>
      <c r="G26" s="23">
        <f>SUM(Прил3!G31)</f>
        <v>33060</v>
      </c>
      <c r="H26" s="23">
        <f>SUM(Прил3!H31)</f>
        <v>0</v>
      </c>
      <c r="I26" s="23">
        <f>SUM(Прил3!I31)</f>
        <v>0</v>
      </c>
      <c r="J26" s="23">
        <f>SUM(Прил3!J31)</f>
        <v>0</v>
      </c>
      <c r="K26" s="23">
        <f>SUM(Прил3!K31)</f>
        <v>0</v>
      </c>
      <c r="L26" s="23"/>
      <c r="M26" s="24">
        <f t="shared" si="0"/>
        <v>23693871</v>
      </c>
    </row>
    <row r="27" spans="1:13" ht="25.5">
      <c r="A27" s="22" t="s">
        <v>281</v>
      </c>
      <c r="B27" s="1" t="s">
        <v>128</v>
      </c>
      <c r="C27" s="23">
        <f>SUM(Прил3!C32)</f>
        <v>6458640</v>
      </c>
      <c r="D27" s="23">
        <f>SUM(Прил3!D32)</f>
        <v>4683140</v>
      </c>
      <c r="E27" s="23">
        <f>SUM(Прил3!E32)</f>
        <v>0</v>
      </c>
      <c r="F27" s="23">
        <f>SUM(Прил3!F32)</f>
        <v>0</v>
      </c>
      <c r="G27" s="23">
        <f>SUM(Прил3!G32)</f>
        <v>0</v>
      </c>
      <c r="H27" s="23">
        <f>SUM(Прил3!H32)</f>
        <v>0</v>
      </c>
      <c r="I27" s="23">
        <f>SUM(Прил3!I32)</f>
        <v>0</v>
      </c>
      <c r="J27" s="23">
        <f>SUM(Прил3!J32)</f>
        <v>0</v>
      </c>
      <c r="K27" s="23">
        <f>SUM(Прил3!K32)</f>
        <v>0</v>
      </c>
      <c r="L27" s="23"/>
      <c r="M27" s="24">
        <f t="shared" si="0"/>
        <v>6458640</v>
      </c>
    </row>
    <row r="28" spans="1:13" ht="25.5">
      <c r="A28" s="22" t="s">
        <v>282</v>
      </c>
      <c r="B28" s="1" t="s">
        <v>129</v>
      </c>
      <c r="C28" s="23">
        <f>SUM(Прил3!C33)</f>
        <v>6996947</v>
      </c>
      <c r="D28" s="23">
        <f>SUM(Прил3!D33)</f>
        <v>5143480</v>
      </c>
      <c r="E28" s="23">
        <f>SUM(Прил3!E33)</f>
        <v>0</v>
      </c>
      <c r="F28" s="23">
        <f>SUM(Прил3!F33)</f>
        <v>0</v>
      </c>
      <c r="G28" s="23">
        <f>SUM(Прил3!G33)</f>
        <v>0</v>
      </c>
      <c r="H28" s="23">
        <f>SUM(Прил3!H33)</f>
        <v>0</v>
      </c>
      <c r="I28" s="23">
        <f>SUM(Прил3!I33)</f>
        <v>0</v>
      </c>
      <c r="J28" s="23">
        <f>SUM(Прил3!J33)</f>
        <v>0</v>
      </c>
      <c r="K28" s="23">
        <f>SUM(Прил3!K33)</f>
        <v>0</v>
      </c>
      <c r="L28" s="23"/>
      <c r="M28" s="24">
        <f t="shared" si="0"/>
        <v>6996947</v>
      </c>
    </row>
    <row r="29" spans="1:13" ht="25.5">
      <c r="A29" s="22" t="s">
        <v>283</v>
      </c>
      <c r="B29" s="1" t="s">
        <v>634</v>
      </c>
      <c r="C29" s="23">
        <f>SUM(Прил3!C34)</f>
        <v>4501836</v>
      </c>
      <c r="D29" s="23">
        <f>SUM(Прил3!D34)</f>
        <v>2685200</v>
      </c>
      <c r="E29" s="23">
        <f>SUM(Прил3!E34)</f>
        <v>265240</v>
      </c>
      <c r="F29" s="23">
        <f>SUM(Прил3!F34)</f>
        <v>0</v>
      </c>
      <c r="G29" s="23">
        <f>SUM(Прил3!G34)</f>
        <v>0</v>
      </c>
      <c r="H29" s="23">
        <f>SUM(Прил3!H34)</f>
        <v>0</v>
      </c>
      <c r="I29" s="23">
        <f>SUM(Прил3!I34)</f>
        <v>0</v>
      </c>
      <c r="J29" s="23">
        <f>SUM(Прил3!J34)</f>
        <v>0</v>
      </c>
      <c r="K29" s="23">
        <f>SUM(Прил3!K34)</f>
        <v>0</v>
      </c>
      <c r="L29" s="23"/>
      <c r="M29" s="24">
        <f t="shared" si="0"/>
        <v>4501836</v>
      </c>
    </row>
    <row r="30" spans="1:13" ht="38.25">
      <c r="A30" s="22" t="s">
        <v>284</v>
      </c>
      <c r="B30" s="1" t="s">
        <v>8</v>
      </c>
      <c r="C30" s="23">
        <f>SUM(Прил3!C35)</f>
        <v>110048</v>
      </c>
      <c r="D30" s="23">
        <f>SUM(Прил3!D35)</f>
        <v>0</v>
      </c>
      <c r="E30" s="23">
        <f>SUM(Прил3!E35)</f>
        <v>0</v>
      </c>
      <c r="F30" s="23">
        <f>SUM(Прил3!F35)</f>
        <v>0</v>
      </c>
      <c r="G30" s="23">
        <f>SUM(Прил3!G35)</f>
        <v>0</v>
      </c>
      <c r="H30" s="23">
        <f>SUM(Прил3!H35)</f>
        <v>0</v>
      </c>
      <c r="I30" s="23">
        <f>SUM(Прил3!I35)</f>
        <v>0</v>
      </c>
      <c r="J30" s="23">
        <f>SUM(Прил3!J35)</f>
        <v>0</v>
      </c>
      <c r="K30" s="23">
        <f>SUM(Прил3!K35)</f>
        <v>0</v>
      </c>
      <c r="L30" s="23"/>
      <c r="M30" s="24">
        <f t="shared" si="0"/>
        <v>110048</v>
      </c>
    </row>
    <row r="31" spans="1:13" ht="12.75">
      <c r="A31" s="20" t="s">
        <v>809</v>
      </c>
      <c r="B31" s="4" t="s">
        <v>592</v>
      </c>
      <c r="C31" s="21">
        <f>SUM(C32+C34+C36+C38+C39+C40+C43+C44+C46+C47+C48+C49)</f>
        <v>601332336.9999999</v>
      </c>
      <c r="D31" s="21">
        <f aca="true" t="shared" si="2" ref="D31:K31">SUM(D32+D34+D36+D38+D39+D40+D43+D44+D46+D47+D48+D49)</f>
        <v>347952295</v>
      </c>
      <c r="E31" s="21">
        <f t="shared" si="2"/>
        <v>21916851</v>
      </c>
      <c r="F31" s="21">
        <f t="shared" si="2"/>
        <v>19998982</v>
      </c>
      <c r="G31" s="21">
        <f t="shared" si="2"/>
        <v>16657600</v>
      </c>
      <c r="H31" s="21">
        <f t="shared" si="2"/>
        <v>5385249</v>
      </c>
      <c r="I31" s="21">
        <f t="shared" si="2"/>
        <v>1065243</v>
      </c>
      <c r="J31" s="21">
        <f t="shared" si="2"/>
        <v>3341382</v>
      </c>
      <c r="K31" s="21">
        <f t="shared" si="2"/>
        <v>2339280</v>
      </c>
      <c r="L31" s="21"/>
      <c r="M31" s="21">
        <f t="shared" si="0"/>
        <v>621331318.9999999</v>
      </c>
    </row>
    <row r="32" spans="1:13" ht="12.75">
      <c r="A32" s="22" t="s">
        <v>810</v>
      </c>
      <c r="B32" s="1" t="s">
        <v>299</v>
      </c>
      <c r="C32" s="23">
        <f>SUM(Прил3!C78)</f>
        <v>255861073</v>
      </c>
      <c r="D32" s="23">
        <f>SUM(Прил3!D78)</f>
        <v>137389816</v>
      </c>
      <c r="E32" s="23">
        <f>SUM(Прил3!E78)</f>
        <v>10613820</v>
      </c>
      <c r="F32" s="23">
        <f>SUM(Прил3!F78)</f>
        <v>8359240</v>
      </c>
      <c r="G32" s="23">
        <f>SUM(Прил3!G78)</f>
        <v>8065458</v>
      </c>
      <c r="H32" s="23">
        <f>SUM(Прил3!H78)</f>
        <v>2953249</v>
      </c>
      <c r="I32" s="23">
        <f>SUM(Прил3!I78)</f>
        <v>528683</v>
      </c>
      <c r="J32" s="23">
        <f>SUM(Прил3!J78)</f>
        <v>293782</v>
      </c>
      <c r="K32" s="23">
        <f>SUM(Прил3!K78)</f>
        <v>0</v>
      </c>
      <c r="L32" s="23"/>
      <c r="M32" s="24">
        <f t="shared" si="0"/>
        <v>264220313</v>
      </c>
    </row>
    <row r="33" spans="1:13" ht="48">
      <c r="A33" s="22"/>
      <c r="B33" s="14" t="s">
        <v>9</v>
      </c>
      <c r="C33" s="23">
        <f>SUM(Прил3!C79)</f>
        <v>50961700</v>
      </c>
      <c r="D33" s="23"/>
      <c r="E33" s="23"/>
      <c r="F33" s="23"/>
      <c r="G33" s="23"/>
      <c r="H33" s="23"/>
      <c r="I33" s="23"/>
      <c r="J33" s="23"/>
      <c r="K33" s="23"/>
      <c r="L33" s="23"/>
      <c r="M33" s="24">
        <f t="shared" si="0"/>
        <v>50961700</v>
      </c>
    </row>
    <row r="34" spans="1:13" ht="12.75">
      <c r="A34" s="22" t="s">
        <v>811</v>
      </c>
      <c r="B34" s="1" t="s">
        <v>322</v>
      </c>
      <c r="C34" s="23">
        <f>SUM(Прил3!C80)</f>
        <v>131192233</v>
      </c>
      <c r="D34" s="23">
        <f>SUM(Прил3!D80)</f>
        <v>80152183</v>
      </c>
      <c r="E34" s="23">
        <f>SUM(Прил3!E80)</f>
        <v>5419053</v>
      </c>
      <c r="F34" s="23">
        <f>SUM(Прил3!F80)</f>
        <v>6334600</v>
      </c>
      <c r="G34" s="23">
        <f>SUM(Прил3!G80)</f>
        <v>5764600</v>
      </c>
      <c r="H34" s="23">
        <f>SUM(Прил3!H80)</f>
        <v>1520000</v>
      </c>
      <c r="I34" s="23">
        <f>SUM(Прил3!I80)</f>
        <v>95000</v>
      </c>
      <c r="J34" s="23">
        <f>SUM(Прил3!J80)</f>
        <v>570000</v>
      </c>
      <c r="K34" s="23">
        <f>SUM(Прил3!K80)</f>
        <v>0</v>
      </c>
      <c r="L34" s="23"/>
      <c r="M34" s="24">
        <f t="shared" si="0"/>
        <v>137526833</v>
      </c>
    </row>
    <row r="35" spans="1:13" ht="48">
      <c r="A35" s="22"/>
      <c r="B35" s="14" t="s">
        <v>9</v>
      </c>
      <c r="C35" s="23">
        <f>SUM(Прил3!C81)</f>
        <v>14276100</v>
      </c>
      <c r="D35" s="23"/>
      <c r="E35" s="23"/>
      <c r="F35" s="23"/>
      <c r="G35" s="23"/>
      <c r="H35" s="23"/>
      <c r="I35" s="23"/>
      <c r="J35" s="23"/>
      <c r="K35" s="23"/>
      <c r="L35" s="23"/>
      <c r="M35" s="24">
        <f t="shared" si="0"/>
        <v>14276100</v>
      </c>
    </row>
    <row r="36" spans="1:13" ht="12.75">
      <c r="A36" s="22" t="s">
        <v>812</v>
      </c>
      <c r="B36" s="1" t="s">
        <v>336</v>
      </c>
      <c r="C36" s="23">
        <f>SUM(Прил3!C82)</f>
        <v>78804733</v>
      </c>
      <c r="D36" s="23">
        <f>SUM(Прил3!D82)</f>
        <v>46698893</v>
      </c>
      <c r="E36" s="23">
        <f>SUM(Прил3!E82)</f>
        <v>3755620</v>
      </c>
      <c r="F36" s="23">
        <f>SUM(Прил3!F82)</f>
        <v>3099280</v>
      </c>
      <c r="G36" s="23">
        <f>SUM(Прил3!G82)</f>
        <v>760000</v>
      </c>
      <c r="H36" s="23">
        <f>SUM(Прил3!H82)</f>
        <v>380000</v>
      </c>
      <c r="I36" s="23">
        <f>SUM(Прил3!I82)</f>
        <v>41800</v>
      </c>
      <c r="J36" s="23">
        <f>SUM(Прил3!J82)</f>
        <v>2339280</v>
      </c>
      <c r="K36" s="23">
        <f>SUM(Прил3!K82)</f>
        <v>2339280</v>
      </c>
      <c r="L36" s="23"/>
      <c r="M36" s="24">
        <f t="shared" si="0"/>
        <v>81904013</v>
      </c>
    </row>
    <row r="37" spans="1:13" ht="48">
      <c r="A37" s="22"/>
      <c r="B37" s="14" t="s">
        <v>9</v>
      </c>
      <c r="C37" s="23">
        <f>SUM(Прил3!C83)</f>
        <v>10406300</v>
      </c>
      <c r="D37" s="23"/>
      <c r="E37" s="23"/>
      <c r="F37" s="23"/>
      <c r="G37" s="23"/>
      <c r="H37" s="23"/>
      <c r="I37" s="23"/>
      <c r="J37" s="23"/>
      <c r="K37" s="23"/>
      <c r="L37" s="23"/>
      <c r="M37" s="24">
        <f t="shared" si="0"/>
        <v>10406300</v>
      </c>
    </row>
    <row r="38" spans="1:13" ht="25.5">
      <c r="A38" s="22" t="s">
        <v>813</v>
      </c>
      <c r="B38" s="1" t="s">
        <v>801</v>
      </c>
      <c r="C38" s="23">
        <f>SUM(Прил3!C84)</f>
        <v>3723215.44</v>
      </c>
      <c r="D38" s="23">
        <f>SUM(Прил3!D84)</f>
        <v>0</v>
      </c>
      <c r="E38" s="23">
        <f>SUM(Прил3!E84)</f>
        <v>0</v>
      </c>
      <c r="F38" s="23">
        <f>SUM(Прил3!F84)</f>
        <v>0</v>
      </c>
      <c r="G38" s="23">
        <f>SUM(Прил3!G84)</f>
        <v>0</v>
      </c>
      <c r="H38" s="23">
        <f>SUM(Прил3!H84)</f>
        <v>0</v>
      </c>
      <c r="I38" s="23">
        <f>SUM(Прил3!I84)</f>
        <v>0</v>
      </c>
      <c r="J38" s="23">
        <f>SUM(Прил3!J84)</f>
        <v>0</v>
      </c>
      <c r="K38" s="23">
        <f>SUM(Прил3!K84)</f>
        <v>0</v>
      </c>
      <c r="L38" s="23"/>
      <c r="M38" s="24">
        <f t="shared" si="0"/>
        <v>3723215.44</v>
      </c>
    </row>
    <row r="39" spans="1:13" ht="25.5" customHeight="1">
      <c r="A39" s="22" t="s">
        <v>814</v>
      </c>
      <c r="B39" s="1" t="s">
        <v>574</v>
      </c>
      <c r="C39" s="23">
        <f>SUM(Прил3!C85)</f>
        <v>1193032.19</v>
      </c>
      <c r="D39" s="23">
        <f>SUM(Прил3!D85)</f>
        <v>822818.1</v>
      </c>
      <c r="E39" s="23">
        <f>SUM(Прил3!E85)</f>
        <v>46356</v>
      </c>
      <c r="F39" s="23">
        <f>SUM(Прил3!F85)</f>
        <v>0</v>
      </c>
      <c r="G39" s="23">
        <f>SUM(Прил3!G85)</f>
        <v>0</v>
      </c>
      <c r="H39" s="23">
        <f>SUM(Прил3!H85)</f>
        <v>0</v>
      </c>
      <c r="I39" s="23">
        <f>SUM(Прил3!I85)</f>
        <v>0</v>
      </c>
      <c r="J39" s="23">
        <f>SUM(Прил3!J85)</f>
        <v>0</v>
      </c>
      <c r="K39" s="23">
        <f>SUM(Прил3!K85)</f>
        <v>0</v>
      </c>
      <c r="L39" s="23"/>
      <c r="M39" s="24">
        <f t="shared" si="0"/>
        <v>1193032.19</v>
      </c>
    </row>
    <row r="40" spans="1:13" ht="25.5">
      <c r="A40" s="22" t="s">
        <v>243</v>
      </c>
      <c r="B40" s="2" t="s">
        <v>300</v>
      </c>
      <c r="C40" s="23">
        <f>SUM(Прил3!C86)</f>
        <v>105984589</v>
      </c>
      <c r="D40" s="23">
        <f>SUM(Прил3!D86)</f>
        <v>69989983</v>
      </c>
      <c r="E40" s="23">
        <f>SUM(Прил3!E86)</f>
        <v>1667420</v>
      </c>
      <c r="F40" s="23">
        <f>SUM(Прил3!F86)</f>
        <v>1237242</v>
      </c>
      <c r="G40" s="23">
        <f>SUM(Прил3!G86)</f>
        <v>1098922</v>
      </c>
      <c r="H40" s="23">
        <f>SUM(Прил3!H86)</f>
        <v>114000</v>
      </c>
      <c r="I40" s="23">
        <f>SUM(Прил3!I86)</f>
        <v>346560</v>
      </c>
      <c r="J40" s="23">
        <f>SUM(Прил3!J86)</f>
        <v>138320</v>
      </c>
      <c r="K40" s="23">
        <f>SUM(Прил3!K86)</f>
        <v>0</v>
      </c>
      <c r="L40" s="23"/>
      <c r="M40" s="24">
        <f t="shared" si="0"/>
        <v>107221831</v>
      </c>
    </row>
    <row r="41" spans="1:13" ht="51.75" customHeight="1">
      <c r="A41" s="22"/>
      <c r="B41" s="2" t="s">
        <v>262</v>
      </c>
      <c r="C41" s="23">
        <f>SUM(Прил3!C87)</f>
        <v>1853260</v>
      </c>
      <c r="D41" s="23">
        <f>SUM(Прил3!D87)</f>
        <v>0</v>
      </c>
      <c r="E41" s="23">
        <f>SUM(Прил3!E87)</f>
        <v>0</v>
      </c>
      <c r="F41" s="23">
        <f>SUM(Прил3!F87)</f>
        <v>0</v>
      </c>
      <c r="G41" s="23">
        <f>SUM(Прил3!G87)</f>
        <v>0</v>
      </c>
      <c r="H41" s="23">
        <f>SUM(Прил3!H87)</f>
        <v>0</v>
      </c>
      <c r="I41" s="23">
        <f>SUM(Прил3!I87)</f>
        <v>0</v>
      </c>
      <c r="J41" s="23">
        <f>SUM(Прил3!J87)</f>
        <v>0</v>
      </c>
      <c r="K41" s="23">
        <f>SUM(Прил3!K87)</f>
        <v>0</v>
      </c>
      <c r="L41" s="23"/>
      <c r="M41" s="24">
        <f t="shared" si="0"/>
        <v>1853260</v>
      </c>
    </row>
    <row r="42" spans="1:13" ht="51.75" customHeight="1">
      <c r="A42" s="22"/>
      <c r="B42" s="14" t="s">
        <v>9</v>
      </c>
      <c r="C42" s="23">
        <f>SUM(Прил3!C88)</f>
        <v>3669800</v>
      </c>
      <c r="D42" s="23"/>
      <c r="E42" s="23"/>
      <c r="F42" s="23"/>
      <c r="G42" s="23"/>
      <c r="H42" s="23"/>
      <c r="I42" s="23"/>
      <c r="J42" s="23"/>
      <c r="K42" s="23"/>
      <c r="L42" s="23"/>
      <c r="M42" s="24">
        <f t="shared" si="0"/>
        <v>3669800</v>
      </c>
    </row>
    <row r="43" spans="1:13" ht="12.75">
      <c r="A43" s="22" t="s">
        <v>815</v>
      </c>
      <c r="B43" s="1" t="s">
        <v>459</v>
      </c>
      <c r="C43" s="23">
        <f>SUM(Прил3!C89)</f>
        <v>5381551.81</v>
      </c>
      <c r="D43" s="23">
        <f>SUM(Прил3!D89)</f>
        <v>3164301.9</v>
      </c>
      <c r="E43" s="23">
        <f>SUM(Прил3!E89)</f>
        <v>111342</v>
      </c>
      <c r="F43" s="23">
        <f>SUM(Прил3!F89)</f>
        <v>0</v>
      </c>
      <c r="G43" s="23">
        <f>SUM(Прил3!G89)</f>
        <v>0</v>
      </c>
      <c r="H43" s="23">
        <f>SUM(Прил3!H89)</f>
        <v>0</v>
      </c>
      <c r="I43" s="23">
        <f>SUM(Прил3!I89)</f>
        <v>0</v>
      </c>
      <c r="J43" s="23">
        <f>SUM(Прил3!J89)</f>
        <v>0</v>
      </c>
      <c r="K43" s="23">
        <f>SUM(Прил3!K89)</f>
        <v>0</v>
      </c>
      <c r="L43" s="23"/>
      <c r="M43" s="24">
        <f t="shared" si="0"/>
        <v>5381551.81</v>
      </c>
    </row>
    <row r="44" spans="1:13" ht="26.25" customHeight="1">
      <c r="A44" s="22" t="s">
        <v>816</v>
      </c>
      <c r="B44" s="1" t="s">
        <v>634</v>
      </c>
      <c r="C44" s="23">
        <f>SUM(Прил3!C90)</f>
        <v>18610745.56</v>
      </c>
      <c r="D44" s="23">
        <f>SUM(Прил3!D90)</f>
        <v>9734300</v>
      </c>
      <c r="E44" s="23">
        <f>SUM(Прил3!E90)</f>
        <v>303240</v>
      </c>
      <c r="F44" s="23">
        <f>SUM(Прил3!F90)</f>
        <v>968620</v>
      </c>
      <c r="G44" s="23">
        <f>SUM(Прил3!G90)</f>
        <v>968620</v>
      </c>
      <c r="H44" s="23">
        <f>SUM(Прил3!H90)</f>
        <v>418000</v>
      </c>
      <c r="I44" s="23">
        <f>SUM(Прил3!I90)</f>
        <v>53200</v>
      </c>
      <c r="J44" s="23">
        <f>SUM(Прил3!J90)</f>
        <v>0</v>
      </c>
      <c r="K44" s="23">
        <f>SUM(Прил3!K90)</f>
        <v>0</v>
      </c>
      <c r="L44" s="23"/>
      <c r="M44" s="24">
        <f t="shared" si="0"/>
        <v>19579365.56</v>
      </c>
    </row>
    <row r="45" spans="1:13" ht="36.75" customHeight="1">
      <c r="A45" s="22"/>
      <c r="B45" s="14" t="s">
        <v>9</v>
      </c>
      <c r="C45" s="23">
        <f>SUM(Прил3!C91)</f>
        <v>3796000</v>
      </c>
      <c r="D45" s="23"/>
      <c r="E45" s="23"/>
      <c r="F45" s="23"/>
      <c r="G45" s="23"/>
      <c r="H45" s="23"/>
      <c r="I45" s="23"/>
      <c r="J45" s="23"/>
      <c r="K45" s="23"/>
      <c r="L45" s="23"/>
      <c r="M45" s="24">
        <f t="shared" si="0"/>
        <v>3796000</v>
      </c>
    </row>
    <row r="46" spans="1:13" ht="25.5">
      <c r="A46" s="22" t="s">
        <v>817</v>
      </c>
      <c r="B46" s="1" t="s">
        <v>924</v>
      </c>
      <c r="C46" s="23">
        <f>SUM(Прил3!C92)</f>
        <v>498706</v>
      </c>
      <c r="D46" s="23">
        <f>SUM(Прил3!D92)</f>
        <v>0</v>
      </c>
      <c r="E46" s="23">
        <f>SUM(Прил3!E92)</f>
        <v>0</v>
      </c>
      <c r="F46" s="23">
        <f>SUM(Прил3!F92)</f>
        <v>0</v>
      </c>
      <c r="G46" s="23">
        <f>SUM(Прил3!G92)</f>
        <v>0</v>
      </c>
      <c r="H46" s="23">
        <f>SUM(Прил3!H92)</f>
        <v>0</v>
      </c>
      <c r="I46" s="23">
        <f>SUM(Прил3!I92)</f>
        <v>0</v>
      </c>
      <c r="J46" s="23">
        <f>SUM(Прил3!J92)</f>
        <v>0</v>
      </c>
      <c r="K46" s="23">
        <f>SUM(Прил3!K92)</f>
        <v>0</v>
      </c>
      <c r="L46" s="23"/>
      <c r="M46" s="24">
        <f t="shared" si="0"/>
        <v>498706</v>
      </c>
    </row>
    <row r="47" spans="1:13" ht="25.5">
      <c r="A47" s="22" t="s">
        <v>818</v>
      </c>
      <c r="B47" s="1" t="s">
        <v>925</v>
      </c>
      <c r="C47" s="23">
        <f>SUM(Прил3!C93)</f>
        <v>68260</v>
      </c>
      <c r="D47" s="23">
        <f>SUM(Прил3!D93)</f>
        <v>0</v>
      </c>
      <c r="E47" s="23">
        <f>SUM(Прил3!E93)</f>
        <v>0</v>
      </c>
      <c r="F47" s="23">
        <f>SUM(Прил3!F93)</f>
        <v>0</v>
      </c>
      <c r="G47" s="23">
        <f>SUM(Прил3!G93)</f>
        <v>0</v>
      </c>
      <c r="H47" s="23">
        <f>SUM(Прил3!H93)</f>
        <v>0</v>
      </c>
      <c r="I47" s="23">
        <f>SUM(Прил3!I93)</f>
        <v>0</v>
      </c>
      <c r="J47" s="23">
        <f>SUM(Прил3!J93)</f>
        <v>0</v>
      </c>
      <c r="K47" s="23">
        <f>SUM(Прил3!K93)</f>
        <v>0</v>
      </c>
      <c r="L47" s="23"/>
      <c r="M47" s="24">
        <f t="shared" si="0"/>
        <v>68260</v>
      </c>
    </row>
    <row r="48" spans="1:13" ht="38.25">
      <c r="A48" s="22" t="s">
        <v>819</v>
      </c>
      <c r="B48" s="1" t="s">
        <v>636</v>
      </c>
      <c r="C48" s="23">
        <f>SUM(Прил3!C94)</f>
        <v>0</v>
      </c>
      <c r="D48" s="23">
        <f>SUM(Прил3!D94)</f>
        <v>0</v>
      </c>
      <c r="E48" s="23">
        <f>SUM(Прил3!E94)</f>
        <v>0</v>
      </c>
      <c r="F48" s="23">
        <f>SUM(Прил3!F94)</f>
        <v>0</v>
      </c>
      <c r="G48" s="23">
        <f>SUM(Прил3!G94)</f>
        <v>0</v>
      </c>
      <c r="H48" s="23">
        <f>SUM(Прил3!H94)</f>
        <v>0</v>
      </c>
      <c r="I48" s="23">
        <f>SUM(Прил3!I94)</f>
        <v>0</v>
      </c>
      <c r="J48" s="23">
        <f>SUM(Прил3!J94)</f>
        <v>0</v>
      </c>
      <c r="K48" s="23">
        <f>SUM(Прил3!K94)</f>
        <v>0</v>
      </c>
      <c r="L48" s="23"/>
      <c r="M48" s="24">
        <f t="shared" si="0"/>
        <v>0</v>
      </c>
    </row>
    <row r="49" spans="1:13" ht="25.5">
      <c r="A49" s="22" t="s">
        <v>824</v>
      </c>
      <c r="B49" s="1" t="s">
        <v>926</v>
      </c>
      <c r="C49" s="23">
        <f>SUM(Прил3!C95)</f>
        <v>14198</v>
      </c>
      <c r="D49" s="23">
        <f>SUM(Прил3!D95)</f>
        <v>0</v>
      </c>
      <c r="E49" s="23">
        <f>SUM(Прил3!E95)</f>
        <v>0</v>
      </c>
      <c r="F49" s="23">
        <f>SUM(Прил3!F95)</f>
        <v>0</v>
      </c>
      <c r="G49" s="23">
        <f>SUM(Прил3!G95)</f>
        <v>0</v>
      </c>
      <c r="H49" s="23">
        <f>SUM(Прил3!H95)</f>
        <v>0</v>
      </c>
      <c r="I49" s="23">
        <f>SUM(Прил3!I95)</f>
        <v>0</v>
      </c>
      <c r="J49" s="23">
        <f>SUM(Прил3!J95)</f>
        <v>0</v>
      </c>
      <c r="K49" s="23">
        <f>SUM(Прил3!K95)</f>
        <v>0</v>
      </c>
      <c r="L49" s="23"/>
      <c r="M49" s="24">
        <f t="shared" si="0"/>
        <v>14198</v>
      </c>
    </row>
    <row r="50" spans="1:13" ht="25.5">
      <c r="A50" s="20" t="s">
        <v>263</v>
      </c>
      <c r="B50" s="5" t="s">
        <v>498</v>
      </c>
      <c r="C50" s="21">
        <f>C51+C52+C53+C54+C55+C56+C58+C60+C62+C63+C64+C65+C66+C67+C68+C69+C70+C71+C72+C73+C74+C75+C76+C77+C78+C79+C80+C81+C82+C83+C84+C85+C86+C87+C88+C89+C90+C91+C92+C93+C94+C95+C99+C101+C102+C103+C104+C105+C106+C107+C108+C109+C110+C111+C115+C116+C117+C118+C119</f>
        <v>552651494</v>
      </c>
      <c r="D50" s="21">
        <f>SUM(D104+D106+D109)</f>
        <v>24251581</v>
      </c>
      <c r="E50" s="21">
        <f>E104+E106+E109</f>
        <v>573060</v>
      </c>
      <c r="F50" s="21">
        <v>163400</v>
      </c>
      <c r="G50" s="21">
        <v>163400</v>
      </c>
      <c r="H50" s="21">
        <v>52820</v>
      </c>
      <c r="I50" s="21">
        <v>24700</v>
      </c>
      <c r="J50" s="21">
        <v>0</v>
      </c>
      <c r="K50" s="21">
        <v>0</v>
      </c>
      <c r="L50" s="21"/>
      <c r="M50" s="21">
        <f t="shared" si="0"/>
        <v>552814894</v>
      </c>
    </row>
    <row r="51" spans="1:13" ht="230.25" customHeight="1">
      <c r="A51" s="22" t="s">
        <v>312</v>
      </c>
      <c r="B51" s="3" t="s">
        <v>947</v>
      </c>
      <c r="C51" s="23">
        <f>SUM(Прил3!C113)</f>
        <v>6237434</v>
      </c>
      <c r="D51" s="23">
        <v>0</v>
      </c>
      <c r="E51" s="23">
        <v>0</v>
      </c>
      <c r="F51" s="23">
        <v>0</v>
      </c>
      <c r="G51" s="23">
        <v>0</v>
      </c>
      <c r="H51" s="23">
        <v>0</v>
      </c>
      <c r="I51" s="23">
        <v>0</v>
      </c>
      <c r="J51" s="23">
        <v>0</v>
      </c>
      <c r="K51" s="23">
        <v>0</v>
      </c>
      <c r="L51" s="23"/>
      <c r="M51" s="24">
        <f t="shared" si="0"/>
        <v>6237434</v>
      </c>
    </row>
    <row r="52" spans="1:13" ht="231.75" customHeight="1">
      <c r="A52" s="22" t="s">
        <v>312</v>
      </c>
      <c r="B52" s="3" t="s">
        <v>105</v>
      </c>
      <c r="C52" s="23">
        <f>SUM(Прил3!C114)</f>
        <v>27632362</v>
      </c>
      <c r="D52" s="23">
        <v>0</v>
      </c>
      <c r="E52" s="23">
        <v>0</v>
      </c>
      <c r="F52" s="23">
        <v>0</v>
      </c>
      <c r="G52" s="23">
        <v>0</v>
      </c>
      <c r="H52" s="23">
        <v>0</v>
      </c>
      <c r="I52" s="23">
        <v>0</v>
      </c>
      <c r="J52" s="23">
        <v>0</v>
      </c>
      <c r="K52" s="23">
        <v>0</v>
      </c>
      <c r="L52" s="23"/>
      <c r="M52" s="24">
        <f t="shared" si="0"/>
        <v>27632362</v>
      </c>
    </row>
    <row r="53" spans="1:13" ht="191.25">
      <c r="A53" s="22" t="s">
        <v>570</v>
      </c>
      <c r="B53" s="25" t="s">
        <v>56</v>
      </c>
      <c r="C53" s="23">
        <f>SUM(Прил3!C115)</f>
        <v>59378.74</v>
      </c>
      <c r="D53" s="23">
        <v>0</v>
      </c>
      <c r="E53" s="23">
        <v>0</v>
      </c>
      <c r="F53" s="23">
        <v>0</v>
      </c>
      <c r="G53" s="23">
        <v>0</v>
      </c>
      <c r="H53" s="23">
        <v>0</v>
      </c>
      <c r="I53" s="23">
        <v>0</v>
      </c>
      <c r="J53" s="23">
        <v>0</v>
      </c>
      <c r="K53" s="23">
        <v>0</v>
      </c>
      <c r="L53" s="23"/>
      <c r="M53" s="24">
        <f t="shared" si="0"/>
        <v>59378.74</v>
      </c>
    </row>
    <row r="54" spans="1:13" ht="216.75" customHeight="1">
      <c r="A54" s="22" t="s">
        <v>772</v>
      </c>
      <c r="B54" s="3" t="s">
        <v>761</v>
      </c>
      <c r="C54" s="23">
        <f>SUM(Прил3!C118)</f>
        <v>38228</v>
      </c>
      <c r="D54" s="23">
        <v>0</v>
      </c>
      <c r="E54" s="23">
        <v>0</v>
      </c>
      <c r="F54" s="23">
        <v>0</v>
      </c>
      <c r="G54" s="23">
        <v>0</v>
      </c>
      <c r="H54" s="23">
        <v>0</v>
      </c>
      <c r="I54" s="23">
        <v>0</v>
      </c>
      <c r="J54" s="23">
        <v>0</v>
      </c>
      <c r="K54" s="23">
        <v>0</v>
      </c>
      <c r="L54" s="23"/>
      <c r="M54" s="24">
        <f t="shared" si="0"/>
        <v>38228</v>
      </c>
    </row>
    <row r="55" spans="1:13" ht="219.75" customHeight="1">
      <c r="A55" s="22" t="s">
        <v>772</v>
      </c>
      <c r="B55" s="3" t="s">
        <v>121</v>
      </c>
      <c r="C55" s="23">
        <f>SUM(Прил3!C119)</f>
        <v>604734</v>
      </c>
      <c r="D55" s="23">
        <v>0</v>
      </c>
      <c r="E55" s="23">
        <v>0</v>
      </c>
      <c r="F55" s="23">
        <v>0</v>
      </c>
      <c r="G55" s="23">
        <v>0</v>
      </c>
      <c r="H55" s="23">
        <v>0</v>
      </c>
      <c r="I55" s="23">
        <v>0</v>
      </c>
      <c r="J55" s="23">
        <v>0</v>
      </c>
      <c r="K55" s="23">
        <v>0</v>
      </c>
      <c r="L55" s="23"/>
      <c r="M55" s="24">
        <f t="shared" si="0"/>
        <v>604734</v>
      </c>
    </row>
    <row r="56" spans="1:13" ht="371.25" customHeight="1">
      <c r="A56" s="22" t="s">
        <v>308</v>
      </c>
      <c r="B56" s="3" t="s">
        <v>503</v>
      </c>
      <c r="C56" s="23">
        <f>SUM(Прил3!C122)</f>
        <v>1516352</v>
      </c>
      <c r="D56" s="23">
        <v>0</v>
      </c>
      <c r="E56" s="23">
        <v>0</v>
      </c>
      <c r="F56" s="23">
        <v>0</v>
      </c>
      <c r="G56" s="23">
        <v>0</v>
      </c>
      <c r="H56" s="23">
        <v>0</v>
      </c>
      <c r="I56" s="23">
        <v>0</v>
      </c>
      <c r="J56" s="23">
        <v>0</v>
      </c>
      <c r="K56" s="23">
        <v>0</v>
      </c>
      <c r="L56" s="23"/>
      <c r="M56" s="24">
        <f t="shared" si="0"/>
        <v>1516352</v>
      </c>
    </row>
    <row r="57" spans="1:13" ht="270" customHeight="1">
      <c r="A57" s="22"/>
      <c r="B57" s="3" t="s">
        <v>759</v>
      </c>
      <c r="C57" s="23"/>
      <c r="D57" s="23"/>
      <c r="E57" s="23"/>
      <c r="F57" s="23"/>
      <c r="G57" s="23"/>
      <c r="H57" s="23"/>
      <c r="I57" s="23"/>
      <c r="J57" s="23"/>
      <c r="K57" s="23"/>
      <c r="L57" s="23"/>
      <c r="M57" s="24"/>
    </row>
    <row r="58" spans="1:13" ht="372" customHeight="1">
      <c r="A58" s="22" t="s">
        <v>308</v>
      </c>
      <c r="B58" s="3" t="s">
        <v>503</v>
      </c>
      <c r="C58" s="23">
        <f>SUM(Прил3!C123)</f>
        <v>11636284</v>
      </c>
      <c r="D58" s="23">
        <v>0</v>
      </c>
      <c r="E58" s="23">
        <v>0</v>
      </c>
      <c r="F58" s="23">
        <v>0</v>
      </c>
      <c r="G58" s="23">
        <v>0</v>
      </c>
      <c r="H58" s="23">
        <v>0</v>
      </c>
      <c r="I58" s="23">
        <v>0</v>
      </c>
      <c r="J58" s="23">
        <v>0</v>
      </c>
      <c r="K58" s="23">
        <v>0</v>
      </c>
      <c r="L58" s="23"/>
      <c r="M58" s="24">
        <f>SUM(C58)</f>
        <v>11636284</v>
      </c>
    </row>
    <row r="59" spans="1:13" ht="269.25" customHeight="1">
      <c r="A59" s="22"/>
      <c r="B59" s="3" t="s">
        <v>521</v>
      </c>
      <c r="C59" s="23"/>
      <c r="D59" s="23"/>
      <c r="E59" s="23"/>
      <c r="F59" s="23"/>
      <c r="G59" s="23"/>
      <c r="H59" s="23"/>
      <c r="I59" s="23"/>
      <c r="J59" s="23"/>
      <c r="K59" s="23"/>
      <c r="L59" s="23"/>
      <c r="M59" s="24"/>
    </row>
    <row r="60" spans="1:13" ht="357.75" customHeight="1">
      <c r="A60" s="22" t="s">
        <v>897</v>
      </c>
      <c r="B60" s="1" t="s">
        <v>268</v>
      </c>
      <c r="C60" s="23">
        <f>SUM(C61)</f>
        <v>4404.26</v>
      </c>
      <c r="D60" s="23">
        <v>0</v>
      </c>
      <c r="E60" s="23">
        <v>0</v>
      </c>
      <c r="F60" s="23">
        <v>0</v>
      </c>
      <c r="G60" s="23">
        <v>0</v>
      </c>
      <c r="H60" s="23">
        <v>0</v>
      </c>
      <c r="I60" s="23">
        <v>0</v>
      </c>
      <c r="J60" s="23">
        <v>0</v>
      </c>
      <c r="K60" s="23">
        <v>0</v>
      </c>
      <c r="L60" s="23"/>
      <c r="M60" s="24">
        <f>C60+F60</f>
        <v>4404.26</v>
      </c>
    </row>
    <row r="61" spans="1:13" ht="89.25">
      <c r="A61" s="22"/>
      <c r="B61" s="1" t="s">
        <v>118</v>
      </c>
      <c r="C61" s="23">
        <f>SUM(Прил3!C126)</f>
        <v>4404.26</v>
      </c>
      <c r="D61" s="23"/>
      <c r="E61" s="23"/>
      <c r="F61" s="23"/>
      <c r="G61" s="23"/>
      <c r="H61" s="23"/>
      <c r="I61" s="23"/>
      <c r="J61" s="23"/>
      <c r="K61" s="23"/>
      <c r="L61" s="23"/>
      <c r="M61" s="24"/>
    </row>
    <row r="62" spans="1:13" ht="91.5" customHeight="1">
      <c r="A62" s="22" t="s">
        <v>790</v>
      </c>
      <c r="B62" s="1" t="s">
        <v>119</v>
      </c>
      <c r="C62" s="23">
        <v>186656</v>
      </c>
      <c r="D62" s="23">
        <v>0</v>
      </c>
      <c r="E62" s="23">
        <v>0</v>
      </c>
      <c r="F62" s="23">
        <v>0</v>
      </c>
      <c r="G62" s="23">
        <v>0</v>
      </c>
      <c r="H62" s="23">
        <v>0</v>
      </c>
      <c r="I62" s="23">
        <v>0</v>
      </c>
      <c r="J62" s="23">
        <v>0</v>
      </c>
      <c r="K62" s="23">
        <v>0</v>
      </c>
      <c r="L62" s="23"/>
      <c r="M62" s="24">
        <f>C62+F62</f>
        <v>186656</v>
      </c>
    </row>
    <row r="63" spans="1:13" ht="90.75" customHeight="1">
      <c r="A63" s="22" t="s">
        <v>790</v>
      </c>
      <c r="B63" s="1" t="s">
        <v>942</v>
      </c>
      <c r="C63" s="23">
        <f>SUM(Прил3!C129)</f>
        <v>1336916</v>
      </c>
      <c r="D63" s="23">
        <v>0</v>
      </c>
      <c r="E63" s="23">
        <v>0</v>
      </c>
      <c r="F63" s="23">
        <v>0</v>
      </c>
      <c r="G63" s="23">
        <v>0</v>
      </c>
      <c r="H63" s="23">
        <v>0</v>
      </c>
      <c r="I63" s="23">
        <v>0</v>
      </c>
      <c r="J63" s="23">
        <v>0</v>
      </c>
      <c r="K63" s="23">
        <v>0</v>
      </c>
      <c r="L63" s="23"/>
      <c r="M63" s="24">
        <f>SUM(C63)</f>
        <v>1336916</v>
      </c>
    </row>
    <row r="64" spans="1:13" ht="92.25" customHeight="1">
      <c r="A64" s="22" t="s">
        <v>899</v>
      </c>
      <c r="B64" s="1" t="s">
        <v>337</v>
      </c>
      <c r="C64" s="23">
        <f>1900-1900</f>
        <v>0</v>
      </c>
      <c r="D64" s="23">
        <v>0</v>
      </c>
      <c r="E64" s="23">
        <v>0</v>
      </c>
      <c r="F64" s="23">
        <v>0</v>
      </c>
      <c r="G64" s="23">
        <v>0</v>
      </c>
      <c r="H64" s="23">
        <v>0</v>
      </c>
      <c r="I64" s="23">
        <v>0</v>
      </c>
      <c r="J64" s="23">
        <v>0</v>
      </c>
      <c r="K64" s="23">
        <v>0</v>
      </c>
      <c r="L64" s="23"/>
      <c r="M64" s="24">
        <f aca="true" t="shared" si="3" ref="M64:M127">C64+F64</f>
        <v>0</v>
      </c>
    </row>
    <row r="65" spans="1:13" ht="90.75" customHeight="1">
      <c r="A65" s="22" t="s">
        <v>773</v>
      </c>
      <c r="B65" s="1" t="s">
        <v>338</v>
      </c>
      <c r="C65" s="24">
        <v>7125</v>
      </c>
      <c r="D65" s="23">
        <v>0</v>
      </c>
      <c r="E65" s="23">
        <v>0</v>
      </c>
      <c r="F65" s="23">
        <v>0</v>
      </c>
      <c r="G65" s="23">
        <v>0</v>
      </c>
      <c r="H65" s="23">
        <v>0</v>
      </c>
      <c r="I65" s="23">
        <v>0</v>
      </c>
      <c r="J65" s="23">
        <v>0</v>
      </c>
      <c r="K65" s="23">
        <v>0</v>
      </c>
      <c r="L65" s="23"/>
      <c r="M65" s="24">
        <f t="shared" si="3"/>
        <v>7125</v>
      </c>
    </row>
    <row r="66" spans="1:13" ht="81" customHeight="1">
      <c r="A66" s="22" t="s">
        <v>773</v>
      </c>
      <c r="B66" s="1" t="s">
        <v>120</v>
      </c>
      <c r="C66" s="24">
        <f>SUM(Прил3!C134)</f>
        <v>75526</v>
      </c>
      <c r="D66" s="23">
        <v>0</v>
      </c>
      <c r="E66" s="23">
        <v>0</v>
      </c>
      <c r="F66" s="23">
        <v>0</v>
      </c>
      <c r="G66" s="23">
        <v>0</v>
      </c>
      <c r="H66" s="23">
        <v>0</v>
      </c>
      <c r="I66" s="23">
        <v>0</v>
      </c>
      <c r="J66" s="23">
        <v>0</v>
      </c>
      <c r="K66" s="23">
        <v>0</v>
      </c>
      <c r="L66" s="23"/>
      <c r="M66" s="24">
        <f t="shared" si="3"/>
        <v>75526</v>
      </c>
    </row>
    <row r="67" spans="1:13" ht="183.75" customHeight="1">
      <c r="A67" s="22" t="s">
        <v>768</v>
      </c>
      <c r="B67" s="1" t="s">
        <v>616</v>
      </c>
      <c r="C67" s="23">
        <v>28652</v>
      </c>
      <c r="D67" s="23">
        <v>0</v>
      </c>
      <c r="E67" s="23">
        <v>0</v>
      </c>
      <c r="F67" s="23">
        <v>0</v>
      </c>
      <c r="G67" s="23">
        <v>0</v>
      </c>
      <c r="H67" s="23">
        <v>0</v>
      </c>
      <c r="I67" s="23">
        <v>0</v>
      </c>
      <c r="J67" s="23">
        <v>0</v>
      </c>
      <c r="K67" s="23">
        <v>0</v>
      </c>
      <c r="L67" s="23"/>
      <c r="M67" s="24">
        <f t="shared" si="3"/>
        <v>28652</v>
      </c>
    </row>
    <row r="68" spans="1:13" ht="183.75" customHeight="1">
      <c r="A68" s="22" t="s">
        <v>768</v>
      </c>
      <c r="B68" s="1" t="s">
        <v>46</v>
      </c>
      <c r="C68" s="23">
        <f>SUM(Прил3!C137)</f>
        <v>304912</v>
      </c>
      <c r="D68" s="23">
        <v>0</v>
      </c>
      <c r="E68" s="23">
        <v>0</v>
      </c>
      <c r="F68" s="23">
        <v>0</v>
      </c>
      <c r="G68" s="23">
        <v>0</v>
      </c>
      <c r="H68" s="23">
        <v>0</v>
      </c>
      <c r="I68" s="23">
        <v>0</v>
      </c>
      <c r="J68" s="23">
        <v>0</v>
      </c>
      <c r="K68" s="23">
        <v>0</v>
      </c>
      <c r="L68" s="23"/>
      <c r="M68" s="24">
        <f t="shared" si="3"/>
        <v>304912</v>
      </c>
    </row>
    <row r="69" spans="1:13" ht="51">
      <c r="A69" s="22" t="s">
        <v>826</v>
      </c>
      <c r="B69" s="1" t="s">
        <v>47</v>
      </c>
      <c r="C69" s="23">
        <f>SUM(Прил3!C138)</f>
        <v>109820</v>
      </c>
      <c r="D69" s="23">
        <v>0</v>
      </c>
      <c r="E69" s="23">
        <v>0</v>
      </c>
      <c r="F69" s="23">
        <v>0</v>
      </c>
      <c r="G69" s="23">
        <v>0</v>
      </c>
      <c r="H69" s="23">
        <v>0</v>
      </c>
      <c r="I69" s="23">
        <v>0</v>
      </c>
      <c r="J69" s="23">
        <v>0</v>
      </c>
      <c r="K69" s="23">
        <v>0</v>
      </c>
      <c r="L69" s="23"/>
      <c r="M69" s="24">
        <f t="shared" si="3"/>
        <v>109820</v>
      </c>
    </row>
    <row r="70" spans="1:13" ht="38.25">
      <c r="A70" s="22" t="s">
        <v>775</v>
      </c>
      <c r="B70" s="1" t="s">
        <v>122</v>
      </c>
      <c r="C70" s="23">
        <v>433827</v>
      </c>
      <c r="D70" s="23">
        <v>0</v>
      </c>
      <c r="E70" s="23">
        <v>0</v>
      </c>
      <c r="F70" s="23">
        <v>0</v>
      </c>
      <c r="G70" s="23">
        <v>0</v>
      </c>
      <c r="H70" s="23">
        <v>0</v>
      </c>
      <c r="I70" s="23">
        <v>0</v>
      </c>
      <c r="J70" s="23">
        <v>0</v>
      </c>
      <c r="K70" s="23">
        <v>0</v>
      </c>
      <c r="L70" s="23"/>
      <c r="M70" s="24">
        <f t="shared" si="3"/>
        <v>433827</v>
      </c>
    </row>
    <row r="71" spans="1:13" ht="38.25">
      <c r="A71" s="22" t="s">
        <v>775</v>
      </c>
      <c r="B71" s="1" t="s">
        <v>48</v>
      </c>
      <c r="C71" s="23">
        <f>SUM(Прил3!C141)</f>
        <v>3852760</v>
      </c>
      <c r="D71" s="23">
        <v>0</v>
      </c>
      <c r="E71" s="23">
        <v>0</v>
      </c>
      <c r="F71" s="23">
        <v>0</v>
      </c>
      <c r="G71" s="23">
        <v>0</v>
      </c>
      <c r="H71" s="23">
        <v>0</v>
      </c>
      <c r="I71" s="23">
        <v>0</v>
      </c>
      <c r="J71" s="23">
        <v>0</v>
      </c>
      <c r="K71" s="23">
        <v>0</v>
      </c>
      <c r="L71" s="23"/>
      <c r="M71" s="24">
        <f t="shared" si="3"/>
        <v>3852760</v>
      </c>
    </row>
    <row r="72" spans="1:13" ht="38.25">
      <c r="A72" s="22" t="s">
        <v>770</v>
      </c>
      <c r="B72" s="1" t="s">
        <v>123</v>
      </c>
      <c r="C72" s="23">
        <v>501296</v>
      </c>
      <c r="D72" s="23">
        <v>0</v>
      </c>
      <c r="E72" s="23">
        <v>0</v>
      </c>
      <c r="F72" s="23">
        <v>0</v>
      </c>
      <c r="G72" s="23">
        <v>0</v>
      </c>
      <c r="H72" s="23">
        <v>0</v>
      </c>
      <c r="I72" s="23">
        <v>0</v>
      </c>
      <c r="J72" s="23">
        <v>0</v>
      </c>
      <c r="K72" s="23">
        <v>0</v>
      </c>
      <c r="L72" s="23"/>
      <c r="M72" s="24">
        <f t="shared" si="3"/>
        <v>501296</v>
      </c>
    </row>
    <row r="73" spans="1:13" ht="38.25">
      <c r="A73" s="22" t="s">
        <v>770</v>
      </c>
      <c r="B73" s="1" t="s">
        <v>49</v>
      </c>
      <c r="C73" s="23">
        <f>SUM(Прил3!C144)</f>
        <v>2976996</v>
      </c>
      <c r="D73" s="23">
        <v>0</v>
      </c>
      <c r="E73" s="23">
        <v>0</v>
      </c>
      <c r="F73" s="23">
        <v>0</v>
      </c>
      <c r="G73" s="23">
        <v>0</v>
      </c>
      <c r="H73" s="23">
        <v>0</v>
      </c>
      <c r="I73" s="23">
        <v>0</v>
      </c>
      <c r="J73" s="23">
        <v>0</v>
      </c>
      <c r="K73" s="23">
        <v>0</v>
      </c>
      <c r="L73" s="23"/>
      <c r="M73" s="24">
        <f t="shared" si="3"/>
        <v>2976996</v>
      </c>
    </row>
    <row r="74" spans="1:13" ht="41.25" customHeight="1">
      <c r="A74" s="22" t="s">
        <v>74</v>
      </c>
      <c r="B74" s="1" t="s">
        <v>50</v>
      </c>
      <c r="C74" s="23">
        <f>SUM(Прил3!C145)</f>
        <v>13289.59</v>
      </c>
      <c r="D74" s="23">
        <v>0</v>
      </c>
      <c r="E74" s="23">
        <v>0</v>
      </c>
      <c r="F74" s="23">
        <v>0</v>
      </c>
      <c r="G74" s="23">
        <v>0</v>
      </c>
      <c r="H74" s="23">
        <v>0</v>
      </c>
      <c r="I74" s="23">
        <v>0</v>
      </c>
      <c r="J74" s="23">
        <v>0</v>
      </c>
      <c r="K74" s="23">
        <v>0</v>
      </c>
      <c r="L74" s="23"/>
      <c r="M74" s="24">
        <f t="shared" si="3"/>
        <v>13289.59</v>
      </c>
    </row>
    <row r="75" spans="1:13" ht="38.25">
      <c r="A75" s="22" t="s">
        <v>827</v>
      </c>
      <c r="B75" s="1" t="s">
        <v>917</v>
      </c>
      <c r="C75" s="23">
        <v>721780</v>
      </c>
      <c r="D75" s="23">
        <v>0</v>
      </c>
      <c r="E75" s="23">
        <v>0</v>
      </c>
      <c r="F75" s="23">
        <v>0</v>
      </c>
      <c r="G75" s="23">
        <v>0</v>
      </c>
      <c r="H75" s="23">
        <v>0</v>
      </c>
      <c r="I75" s="23">
        <v>0</v>
      </c>
      <c r="J75" s="23">
        <v>0</v>
      </c>
      <c r="K75" s="23">
        <v>0</v>
      </c>
      <c r="L75" s="23"/>
      <c r="M75" s="24">
        <f t="shared" si="3"/>
        <v>721780</v>
      </c>
    </row>
    <row r="76" spans="1:13" ht="25.5">
      <c r="A76" s="22" t="s">
        <v>827</v>
      </c>
      <c r="B76" s="1" t="s">
        <v>51</v>
      </c>
      <c r="C76" s="23">
        <f>SUM(Прил3!C149)</f>
        <v>3218060</v>
      </c>
      <c r="D76" s="23">
        <v>0</v>
      </c>
      <c r="E76" s="23">
        <v>0</v>
      </c>
      <c r="F76" s="23">
        <v>0</v>
      </c>
      <c r="G76" s="23">
        <v>0</v>
      </c>
      <c r="H76" s="23">
        <v>0</v>
      </c>
      <c r="I76" s="23">
        <v>0</v>
      </c>
      <c r="J76" s="23">
        <v>0</v>
      </c>
      <c r="K76" s="23">
        <v>0</v>
      </c>
      <c r="L76" s="23"/>
      <c r="M76" s="24">
        <f t="shared" si="3"/>
        <v>3218060</v>
      </c>
    </row>
    <row r="77" spans="1:13" ht="38.25">
      <c r="A77" s="22" t="s">
        <v>828</v>
      </c>
      <c r="B77" s="1" t="s">
        <v>560</v>
      </c>
      <c r="C77" s="23">
        <f>SUM(Прил3!C151)</f>
        <v>16687111</v>
      </c>
      <c r="D77" s="23">
        <v>0</v>
      </c>
      <c r="E77" s="23">
        <v>0</v>
      </c>
      <c r="F77" s="23">
        <v>0</v>
      </c>
      <c r="G77" s="23">
        <v>0</v>
      </c>
      <c r="H77" s="23">
        <v>0</v>
      </c>
      <c r="I77" s="23">
        <v>0</v>
      </c>
      <c r="J77" s="23">
        <v>0</v>
      </c>
      <c r="K77" s="23">
        <v>0</v>
      </c>
      <c r="L77" s="23"/>
      <c r="M77" s="24">
        <f t="shared" si="3"/>
        <v>16687111</v>
      </c>
    </row>
    <row r="78" spans="1:13" ht="38.25">
      <c r="A78" s="22" t="s">
        <v>828</v>
      </c>
      <c r="B78" s="1" t="s">
        <v>19</v>
      </c>
      <c r="C78" s="23">
        <f>SUM(Прил3!C152)</f>
        <v>54688249</v>
      </c>
      <c r="D78" s="23">
        <v>0</v>
      </c>
      <c r="E78" s="23">
        <v>0</v>
      </c>
      <c r="F78" s="23">
        <v>0</v>
      </c>
      <c r="G78" s="23">
        <v>0</v>
      </c>
      <c r="H78" s="23">
        <v>0</v>
      </c>
      <c r="I78" s="23">
        <v>0</v>
      </c>
      <c r="J78" s="23">
        <v>0</v>
      </c>
      <c r="K78" s="23">
        <v>0</v>
      </c>
      <c r="L78" s="23"/>
      <c r="M78" s="24">
        <f t="shared" si="3"/>
        <v>54688249</v>
      </c>
    </row>
    <row r="79" spans="1:13" ht="25.5">
      <c r="A79" s="22" t="s">
        <v>829</v>
      </c>
      <c r="B79" s="1" t="s">
        <v>323</v>
      </c>
      <c r="C79" s="23">
        <v>38362520</v>
      </c>
      <c r="D79" s="23">
        <v>0</v>
      </c>
      <c r="E79" s="23">
        <v>0</v>
      </c>
      <c r="F79" s="23">
        <v>0</v>
      </c>
      <c r="G79" s="23">
        <v>0</v>
      </c>
      <c r="H79" s="23">
        <v>0</v>
      </c>
      <c r="I79" s="23">
        <v>0</v>
      </c>
      <c r="J79" s="23">
        <v>0</v>
      </c>
      <c r="K79" s="23">
        <v>0</v>
      </c>
      <c r="L79" s="23"/>
      <c r="M79" s="24">
        <f t="shared" si="3"/>
        <v>38362520</v>
      </c>
    </row>
    <row r="80" spans="1:13" ht="25.5">
      <c r="A80" s="22" t="s">
        <v>829</v>
      </c>
      <c r="B80" s="1" t="s">
        <v>20</v>
      </c>
      <c r="C80" s="23">
        <f>SUM(Прил3!C155)</f>
        <v>146225660</v>
      </c>
      <c r="D80" s="23">
        <v>0</v>
      </c>
      <c r="E80" s="23">
        <v>0</v>
      </c>
      <c r="F80" s="23">
        <v>0</v>
      </c>
      <c r="G80" s="23">
        <v>0</v>
      </c>
      <c r="H80" s="23">
        <v>0</v>
      </c>
      <c r="I80" s="23">
        <v>0</v>
      </c>
      <c r="J80" s="23">
        <v>0</v>
      </c>
      <c r="K80" s="23">
        <v>0</v>
      </c>
      <c r="L80" s="23"/>
      <c r="M80" s="24">
        <f t="shared" si="3"/>
        <v>146225660</v>
      </c>
    </row>
    <row r="81" spans="1:13" ht="38.25">
      <c r="A81" s="22" t="s">
        <v>830</v>
      </c>
      <c r="B81" s="1" t="s">
        <v>316</v>
      </c>
      <c r="C81" s="23">
        <v>3295683</v>
      </c>
      <c r="D81" s="23">
        <v>0</v>
      </c>
      <c r="E81" s="23">
        <v>0</v>
      </c>
      <c r="F81" s="23">
        <v>0</v>
      </c>
      <c r="G81" s="23">
        <v>0</v>
      </c>
      <c r="H81" s="23">
        <v>0</v>
      </c>
      <c r="I81" s="23">
        <v>0</v>
      </c>
      <c r="J81" s="23">
        <v>0</v>
      </c>
      <c r="K81" s="23">
        <v>0</v>
      </c>
      <c r="L81" s="23"/>
      <c r="M81" s="24">
        <f t="shared" si="3"/>
        <v>3295683</v>
      </c>
    </row>
    <row r="82" spans="1:13" ht="38.25">
      <c r="A82" s="22" t="s">
        <v>830</v>
      </c>
      <c r="B82" s="1" t="s">
        <v>21</v>
      </c>
      <c r="C82" s="23">
        <f>SUM(Прил3!C158)</f>
        <v>14231977</v>
      </c>
      <c r="D82" s="23">
        <v>0</v>
      </c>
      <c r="E82" s="23">
        <v>0</v>
      </c>
      <c r="F82" s="23">
        <v>0</v>
      </c>
      <c r="G82" s="23">
        <v>0</v>
      </c>
      <c r="H82" s="23">
        <v>0</v>
      </c>
      <c r="I82" s="23">
        <v>0</v>
      </c>
      <c r="J82" s="23">
        <v>0</v>
      </c>
      <c r="K82" s="23">
        <v>0</v>
      </c>
      <c r="L82" s="23"/>
      <c r="M82" s="24">
        <f t="shared" si="3"/>
        <v>14231977</v>
      </c>
    </row>
    <row r="83" spans="1:13" ht="38.25">
      <c r="A83" s="22" t="s">
        <v>831</v>
      </c>
      <c r="B83" s="1" t="s">
        <v>317</v>
      </c>
      <c r="C83" s="23">
        <v>10118792</v>
      </c>
      <c r="D83" s="23">
        <v>0</v>
      </c>
      <c r="E83" s="23">
        <v>0</v>
      </c>
      <c r="F83" s="23">
        <v>0</v>
      </c>
      <c r="G83" s="23">
        <v>0</v>
      </c>
      <c r="H83" s="23">
        <v>0</v>
      </c>
      <c r="I83" s="23">
        <v>0</v>
      </c>
      <c r="J83" s="23">
        <v>0</v>
      </c>
      <c r="K83" s="23">
        <v>0</v>
      </c>
      <c r="L83" s="23"/>
      <c r="M83" s="24">
        <f t="shared" si="3"/>
        <v>10118792</v>
      </c>
    </row>
    <row r="84" spans="1:13" ht="25.5">
      <c r="A84" s="22" t="s">
        <v>831</v>
      </c>
      <c r="B84" s="1" t="s">
        <v>22</v>
      </c>
      <c r="C84" s="23">
        <f>SUM(Прил3!C161)</f>
        <v>35701168</v>
      </c>
      <c r="D84" s="23">
        <v>0</v>
      </c>
      <c r="E84" s="23">
        <v>0</v>
      </c>
      <c r="F84" s="23">
        <v>0</v>
      </c>
      <c r="G84" s="23">
        <v>0</v>
      </c>
      <c r="H84" s="23">
        <v>0</v>
      </c>
      <c r="I84" s="23">
        <v>0</v>
      </c>
      <c r="J84" s="23">
        <v>0</v>
      </c>
      <c r="K84" s="23">
        <v>0</v>
      </c>
      <c r="L84" s="23"/>
      <c r="M84" s="24">
        <f t="shared" si="3"/>
        <v>35701168</v>
      </c>
    </row>
    <row r="85" spans="1:13" ht="38.25">
      <c r="A85" s="22" t="s">
        <v>832</v>
      </c>
      <c r="B85" s="1" t="s">
        <v>696</v>
      </c>
      <c r="C85" s="23">
        <v>602965</v>
      </c>
      <c r="D85" s="23">
        <v>0</v>
      </c>
      <c r="E85" s="23">
        <v>0</v>
      </c>
      <c r="F85" s="23">
        <v>0</v>
      </c>
      <c r="G85" s="23">
        <v>0</v>
      </c>
      <c r="H85" s="23">
        <v>0</v>
      </c>
      <c r="I85" s="23">
        <v>0</v>
      </c>
      <c r="J85" s="23">
        <v>0</v>
      </c>
      <c r="K85" s="23">
        <v>0</v>
      </c>
      <c r="L85" s="23"/>
      <c r="M85" s="24">
        <f t="shared" si="3"/>
        <v>602965</v>
      </c>
    </row>
    <row r="86" spans="1:13" ht="25.5">
      <c r="A86" s="22" t="s">
        <v>832</v>
      </c>
      <c r="B86" s="1" t="s">
        <v>23</v>
      </c>
      <c r="C86" s="23">
        <f>SUM(Прил3!C164)</f>
        <v>2150095</v>
      </c>
      <c r="D86" s="23">
        <v>0</v>
      </c>
      <c r="E86" s="23">
        <v>0</v>
      </c>
      <c r="F86" s="23">
        <v>0</v>
      </c>
      <c r="G86" s="23">
        <v>0</v>
      </c>
      <c r="H86" s="23">
        <v>0</v>
      </c>
      <c r="I86" s="23">
        <v>0</v>
      </c>
      <c r="J86" s="23">
        <v>0</v>
      </c>
      <c r="K86" s="23">
        <v>0</v>
      </c>
      <c r="L86" s="23"/>
      <c r="M86" s="24">
        <f t="shared" si="3"/>
        <v>2150095</v>
      </c>
    </row>
    <row r="87" spans="1:13" ht="25.5" customHeight="1">
      <c r="A87" s="22" t="s">
        <v>833</v>
      </c>
      <c r="B87" s="1" t="s">
        <v>697</v>
      </c>
      <c r="C87" s="23">
        <v>200119</v>
      </c>
      <c r="D87" s="23">
        <v>0</v>
      </c>
      <c r="E87" s="23">
        <v>0</v>
      </c>
      <c r="F87" s="23">
        <v>0</v>
      </c>
      <c r="G87" s="23">
        <v>0</v>
      </c>
      <c r="H87" s="23">
        <v>0</v>
      </c>
      <c r="I87" s="23">
        <v>0</v>
      </c>
      <c r="J87" s="23">
        <v>0</v>
      </c>
      <c r="K87" s="23">
        <v>0</v>
      </c>
      <c r="L87" s="23"/>
      <c r="M87" s="24">
        <f t="shared" si="3"/>
        <v>200119</v>
      </c>
    </row>
    <row r="88" spans="1:13" ht="25.5">
      <c r="A88" s="22" t="s">
        <v>833</v>
      </c>
      <c r="B88" s="1" t="s">
        <v>482</v>
      </c>
      <c r="C88" s="23">
        <f>SUM(Прил3!C167)</f>
        <v>631341</v>
      </c>
      <c r="D88" s="23">
        <v>0</v>
      </c>
      <c r="E88" s="23">
        <v>0</v>
      </c>
      <c r="F88" s="23">
        <v>0</v>
      </c>
      <c r="G88" s="23">
        <v>0</v>
      </c>
      <c r="H88" s="23">
        <v>0</v>
      </c>
      <c r="I88" s="23">
        <v>0</v>
      </c>
      <c r="J88" s="23">
        <v>0</v>
      </c>
      <c r="K88" s="23">
        <v>0</v>
      </c>
      <c r="L88" s="23"/>
      <c r="M88" s="24">
        <f t="shared" si="3"/>
        <v>631341</v>
      </c>
    </row>
    <row r="89" spans="1:13" ht="38.25">
      <c r="A89" s="22" t="s">
        <v>834</v>
      </c>
      <c r="B89" s="1" t="s">
        <v>698</v>
      </c>
      <c r="C89" s="23">
        <v>9210516</v>
      </c>
      <c r="D89" s="23">
        <v>0</v>
      </c>
      <c r="E89" s="23">
        <v>0</v>
      </c>
      <c r="F89" s="23">
        <v>0</v>
      </c>
      <c r="G89" s="23">
        <v>0</v>
      </c>
      <c r="H89" s="23">
        <v>0</v>
      </c>
      <c r="I89" s="23">
        <v>0</v>
      </c>
      <c r="J89" s="23">
        <v>0</v>
      </c>
      <c r="K89" s="23">
        <v>0</v>
      </c>
      <c r="L89" s="23"/>
      <c r="M89" s="24">
        <f t="shared" si="3"/>
        <v>9210516</v>
      </c>
    </row>
    <row r="90" spans="1:13" ht="38.25">
      <c r="A90" s="22" t="s">
        <v>834</v>
      </c>
      <c r="B90" s="1" t="s">
        <v>952</v>
      </c>
      <c r="C90" s="23">
        <f>SUM(Прил3!C170)</f>
        <v>32732464</v>
      </c>
      <c r="D90" s="23">
        <v>0</v>
      </c>
      <c r="E90" s="23">
        <v>0</v>
      </c>
      <c r="F90" s="23">
        <v>0</v>
      </c>
      <c r="G90" s="23">
        <v>0</v>
      </c>
      <c r="H90" s="23">
        <v>0</v>
      </c>
      <c r="I90" s="23">
        <v>0</v>
      </c>
      <c r="J90" s="23">
        <v>0</v>
      </c>
      <c r="K90" s="23">
        <v>0</v>
      </c>
      <c r="L90" s="23"/>
      <c r="M90" s="24">
        <f t="shared" si="3"/>
        <v>32732464</v>
      </c>
    </row>
    <row r="91" spans="1:13" ht="51">
      <c r="A91" s="22" t="s">
        <v>771</v>
      </c>
      <c r="B91" s="1" t="s">
        <v>645</v>
      </c>
      <c r="C91" s="23">
        <v>871530</v>
      </c>
      <c r="D91" s="23">
        <v>0</v>
      </c>
      <c r="E91" s="23">
        <v>0</v>
      </c>
      <c r="F91" s="23">
        <v>0</v>
      </c>
      <c r="G91" s="23">
        <v>0</v>
      </c>
      <c r="H91" s="23">
        <v>0</v>
      </c>
      <c r="I91" s="23">
        <v>0</v>
      </c>
      <c r="J91" s="23">
        <v>0</v>
      </c>
      <c r="K91" s="23">
        <v>0</v>
      </c>
      <c r="L91" s="23"/>
      <c r="M91" s="24">
        <f t="shared" si="3"/>
        <v>871530</v>
      </c>
    </row>
    <row r="92" spans="1:13" ht="38.25">
      <c r="A92" s="22" t="s">
        <v>771</v>
      </c>
      <c r="B92" s="1" t="s">
        <v>953</v>
      </c>
      <c r="C92" s="23">
        <f>SUM(Прил3!C173)</f>
        <v>5762270</v>
      </c>
      <c r="D92" s="23">
        <v>0</v>
      </c>
      <c r="E92" s="23">
        <v>0</v>
      </c>
      <c r="F92" s="23">
        <v>0</v>
      </c>
      <c r="G92" s="23">
        <v>0</v>
      </c>
      <c r="H92" s="23">
        <v>0</v>
      </c>
      <c r="I92" s="23">
        <v>0</v>
      </c>
      <c r="J92" s="23">
        <v>0</v>
      </c>
      <c r="K92" s="23">
        <v>0</v>
      </c>
      <c r="L92" s="23"/>
      <c r="M92" s="24">
        <f t="shared" si="3"/>
        <v>5762270</v>
      </c>
    </row>
    <row r="93" spans="1:13" ht="63.75">
      <c r="A93" s="22" t="s">
        <v>75</v>
      </c>
      <c r="B93" s="1" t="s">
        <v>837</v>
      </c>
      <c r="C93" s="23">
        <v>74066</v>
      </c>
      <c r="D93" s="23">
        <v>0</v>
      </c>
      <c r="E93" s="23">
        <v>0</v>
      </c>
      <c r="F93" s="23">
        <v>0</v>
      </c>
      <c r="G93" s="23">
        <v>0</v>
      </c>
      <c r="H93" s="23">
        <v>0</v>
      </c>
      <c r="I93" s="23">
        <v>0</v>
      </c>
      <c r="J93" s="23">
        <v>0</v>
      </c>
      <c r="K93" s="23">
        <v>0</v>
      </c>
      <c r="L93" s="23"/>
      <c r="M93" s="24">
        <f t="shared" si="3"/>
        <v>74066</v>
      </c>
    </row>
    <row r="94" spans="1:13" ht="51">
      <c r="A94" s="22" t="s">
        <v>75</v>
      </c>
      <c r="B94" s="1" t="s">
        <v>241</v>
      </c>
      <c r="C94" s="23">
        <f>SUM(Прил3!C176)</f>
        <v>233292.02</v>
      </c>
      <c r="D94" s="23">
        <f>SUM(Прил3!D176)</f>
        <v>0</v>
      </c>
      <c r="E94" s="23">
        <f>SUM(Прил3!E176)</f>
        <v>0</v>
      </c>
      <c r="F94" s="23">
        <f>SUM(Прил3!F176)</f>
        <v>0</v>
      </c>
      <c r="G94" s="23">
        <f>SUM(Прил3!G176)</f>
        <v>0</v>
      </c>
      <c r="H94" s="23">
        <f>SUM(Прил3!H176)</f>
        <v>0</v>
      </c>
      <c r="I94" s="23">
        <f>SUM(Прил3!I176)</f>
        <v>0</v>
      </c>
      <c r="J94" s="23">
        <f>SUM(Прил3!J176)</f>
        <v>0</v>
      </c>
      <c r="K94" s="23">
        <f>SUM(Прил3!K176)</f>
        <v>0</v>
      </c>
      <c r="L94" s="23"/>
      <c r="M94" s="24">
        <f t="shared" si="3"/>
        <v>233292.02</v>
      </c>
    </row>
    <row r="95" spans="1:13" ht="25.5">
      <c r="A95" s="22" t="s">
        <v>835</v>
      </c>
      <c r="B95" s="1" t="s">
        <v>583</v>
      </c>
      <c r="C95" s="23">
        <f>3391573+161253-119900</f>
        <v>3432926</v>
      </c>
      <c r="D95" s="23">
        <v>0</v>
      </c>
      <c r="E95" s="23">
        <v>0</v>
      </c>
      <c r="F95" s="23">
        <v>0</v>
      </c>
      <c r="G95" s="23">
        <v>0</v>
      </c>
      <c r="H95" s="23">
        <v>0</v>
      </c>
      <c r="I95" s="23">
        <v>0</v>
      </c>
      <c r="J95" s="23">
        <v>0</v>
      </c>
      <c r="K95" s="23">
        <v>0</v>
      </c>
      <c r="L95" s="23"/>
      <c r="M95" s="24">
        <f t="shared" si="3"/>
        <v>3432926</v>
      </c>
    </row>
    <row r="96" spans="1:13" ht="64.5" customHeight="1">
      <c r="A96" s="22"/>
      <c r="B96" s="1" t="s">
        <v>919</v>
      </c>
      <c r="C96" s="23">
        <f>SUM(Прил3!C178)</f>
        <v>1532440</v>
      </c>
      <c r="D96" s="23">
        <v>0</v>
      </c>
      <c r="E96" s="23">
        <v>0</v>
      </c>
      <c r="F96" s="23">
        <v>0</v>
      </c>
      <c r="G96" s="23">
        <v>0</v>
      </c>
      <c r="H96" s="23">
        <v>0</v>
      </c>
      <c r="I96" s="23">
        <v>0</v>
      </c>
      <c r="J96" s="23">
        <v>0</v>
      </c>
      <c r="K96" s="23">
        <v>0</v>
      </c>
      <c r="L96" s="23"/>
      <c r="M96" s="24">
        <f t="shared" si="3"/>
        <v>1532440</v>
      </c>
    </row>
    <row r="97" spans="1:13" ht="89.25">
      <c r="A97" s="22"/>
      <c r="B97" s="2" t="s">
        <v>920</v>
      </c>
      <c r="C97" s="23">
        <f>SUM(Прил3!C180)</f>
        <v>151800</v>
      </c>
      <c r="D97" s="23">
        <v>0</v>
      </c>
      <c r="E97" s="23">
        <v>0</v>
      </c>
      <c r="F97" s="23">
        <v>0</v>
      </c>
      <c r="G97" s="23">
        <v>0</v>
      </c>
      <c r="H97" s="23">
        <v>0</v>
      </c>
      <c r="I97" s="23">
        <v>0</v>
      </c>
      <c r="J97" s="23">
        <v>0</v>
      </c>
      <c r="K97" s="23">
        <v>0</v>
      </c>
      <c r="L97" s="23"/>
      <c r="M97" s="24">
        <f t="shared" si="3"/>
        <v>151800</v>
      </c>
    </row>
    <row r="98" spans="1:13" ht="38.25">
      <c r="A98" s="22"/>
      <c r="B98" s="2" t="s">
        <v>921</v>
      </c>
      <c r="C98" s="23">
        <f>SUM(Прил3!C179)</f>
        <v>8930</v>
      </c>
      <c r="D98" s="23">
        <v>0</v>
      </c>
      <c r="E98" s="23">
        <v>0</v>
      </c>
      <c r="F98" s="23">
        <v>0</v>
      </c>
      <c r="G98" s="23">
        <v>0</v>
      </c>
      <c r="H98" s="23">
        <v>0</v>
      </c>
      <c r="I98" s="23">
        <v>0</v>
      </c>
      <c r="J98" s="23">
        <v>0</v>
      </c>
      <c r="K98" s="23">
        <v>0</v>
      </c>
      <c r="L98" s="23"/>
      <c r="M98" s="24">
        <f t="shared" si="3"/>
        <v>8930</v>
      </c>
    </row>
    <row r="99" spans="1:13" ht="25.5">
      <c r="A99" s="22" t="s">
        <v>836</v>
      </c>
      <c r="B99" s="2" t="s">
        <v>130</v>
      </c>
      <c r="C99" s="23">
        <f>SUM(C100)</f>
        <v>4982540</v>
      </c>
      <c r="D99" s="23">
        <v>0</v>
      </c>
      <c r="E99" s="23">
        <v>0</v>
      </c>
      <c r="F99" s="23">
        <v>0</v>
      </c>
      <c r="G99" s="23">
        <v>0</v>
      </c>
      <c r="H99" s="23">
        <v>0</v>
      </c>
      <c r="I99" s="23">
        <v>0</v>
      </c>
      <c r="J99" s="23">
        <v>0</v>
      </c>
      <c r="K99" s="23">
        <v>0</v>
      </c>
      <c r="L99" s="23"/>
      <c r="M99" s="24">
        <f t="shared" si="3"/>
        <v>4982540</v>
      </c>
    </row>
    <row r="100" spans="1:13" ht="38.25">
      <c r="A100" s="22"/>
      <c r="B100" s="1" t="s">
        <v>922</v>
      </c>
      <c r="C100" s="23">
        <f>SUM(Прил3!C182)</f>
        <v>4982540</v>
      </c>
      <c r="D100" s="23">
        <v>0</v>
      </c>
      <c r="E100" s="23">
        <v>0</v>
      </c>
      <c r="F100" s="23">
        <v>0</v>
      </c>
      <c r="G100" s="23">
        <v>0</v>
      </c>
      <c r="H100" s="23">
        <v>0</v>
      </c>
      <c r="I100" s="23">
        <v>0</v>
      </c>
      <c r="J100" s="23">
        <v>0</v>
      </c>
      <c r="K100" s="23">
        <v>0</v>
      </c>
      <c r="L100" s="23"/>
      <c r="M100" s="24">
        <f t="shared" si="3"/>
        <v>4982540</v>
      </c>
    </row>
    <row r="101" spans="1:13" ht="76.5">
      <c r="A101" s="22" t="s">
        <v>242</v>
      </c>
      <c r="B101" s="1" t="s">
        <v>298</v>
      </c>
      <c r="C101" s="23">
        <v>17134</v>
      </c>
      <c r="D101" s="23">
        <v>0</v>
      </c>
      <c r="E101" s="23">
        <v>0</v>
      </c>
      <c r="F101" s="23">
        <v>0</v>
      </c>
      <c r="G101" s="23">
        <v>0</v>
      </c>
      <c r="H101" s="23">
        <v>0</v>
      </c>
      <c r="I101" s="23">
        <v>0</v>
      </c>
      <c r="J101" s="23">
        <v>0</v>
      </c>
      <c r="K101" s="23">
        <v>0</v>
      </c>
      <c r="L101" s="23"/>
      <c r="M101" s="24">
        <f t="shared" si="3"/>
        <v>17134</v>
      </c>
    </row>
    <row r="102" spans="1:13" ht="76.5">
      <c r="A102" s="22" t="s">
        <v>242</v>
      </c>
      <c r="B102" s="1" t="s">
        <v>923</v>
      </c>
      <c r="C102" s="23">
        <f>SUM(Прил3!C185)</f>
        <v>29635.39</v>
      </c>
      <c r="D102" s="23">
        <v>0</v>
      </c>
      <c r="E102" s="23">
        <v>0</v>
      </c>
      <c r="F102" s="23">
        <v>0</v>
      </c>
      <c r="G102" s="23">
        <v>0</v>
      </c>
      <c r="H102" s="23">
        <v>0</v>
      </c>
      <c r="I102" s="23">
        <v>0</v>
      </c>
      <c r="J102" s="23">
        <v>0</v>
      </c>
      <c r="K102" s="23">
        <v>0</v>
      </c>
      <c r="L102" s="23"/>
      <c r="M102" s="24">
        <f t="shared" si="3"/>
        <v>29635.39</v>
      </c>
    </row>
    <row r="103" spans="1:13" ht="38.25">
      <c r="A103" s="22" t="s">
        <v>841</v>
      </c>
      <c r="B103" s="1" t="s">
        <v>764</v>
      </c>
      <c r="C103" s="23">
        <f>SUM(Прил3!C186)</f>
        <v>810920</v>
      </c>
      <c r="D103" s="23">
        <v>0</v>
      </c>
      <c r="E103" s="23">
        <v>0</v>
      </c>
      <c r="F103" s="23">
        <v>0</v>
      </c>
      <c r="G103" s="23">
        <v>0</v>
      </c>
      <c r="H103" s="23">
        <v>0</v>
      </c>
      <c r="I103" s="23">
        <v>0</v>
      </c>
      <c r="J103" s="23">
        <v>0</v>
      </c>
      <c r="K103" s="23">
        <v>0</v>
      </c>
      <c r="L103" s="23"/>
      <c r="M103" s="24">
        <f t="shared" si="3"/>
        <v>810920</v>
      </c>
    </row>
    <row r="104" spans="1:13" ht="25.5">
      <c r="A104" s="22" t="s">
        <v>289</v>
      </c>
      <c r="B104" s="1" t="s">
        <v>453</v>
      </c>
      <c r="C104" s="23">
        <f>SUM(Прил3!C49)</f>
        <v>5787295</v>
      </c>
      <c r="D104" s="23">
        <f>SUM(Прил3!D49)</f>
        <v>4232741</v>
      </c>
      <c r="E104" s="23">
        <f>SUM(Прил3!E49)</f>
        <v>46380</v>
      </c>
      <c r="F104" s="23">
        <f>SUM(Прил3!F49)</f>
        <v>0</v>
      </c>
      <c r="G104" s="23">
        <f>SUM(Прил3!G49)</f>
        <v>0</v>
      </c>
      <c r="H104" s="23">
        <f>SUM(Прил3!H49)</f>
        <v>0</v>
      </c>
      <c r="I104" s="23">
        <f>SUM(Прил3!I49)</f>
        <v>0</v>
      </c>
      <c r="J104" s="23">
        <f>SUM(Прил3!J49)</f>
        <v>0</v>
      </c>
      <c r="K104" s="23">
        <f>SUM(Прил3!K49)</f>
        <v>0</v>
      </c>
      <c r="L104" s="23"/>
      <c r="M104" s="24">
        <f t="shared" si="3"/>
        <v>5787295</v>
      </c>
    </row>
    <row r="105" spans="1:13" ht="25.5">
      <c r="A105" s="22" t="s">
        <v>290</v>
      </c>
      <c r="B105" s="1" t="s">
        <v>949</v>
      </c>
      <c r="C105" s="23">
        <f>SUM(Прил3!C218+Прил3!C50)</f>
        <v>176259</v>
      </c>
      <c r="D105" s="23">
        <v>0</v>
      </c>
      <c r="E105" s="23">
        <v>0</v>
      </c>
      <c r="F105" s="23">
        <v>0</v>
      </c>
      <c r="G105" s="23">
        <v>0</v>
      </c>
      <c r="H105" s="23">
        <v>0</v>
      </c>
      <c r="I105" s="23">
        <v>0</v>
      </c>
      <c r="J105" s="23">
        <v>0</v>
      </c>
      <c r="K105" s="23">
        <v>0</v>
      </c>
      <c r="L105" s="23"/>
      <c r="M105" s="24">
        <f t="shared" si="3"/>
        <v>176259</v>
      </c>
    </row>
    <row r="106" spans="1:13" ht="25.5">
      <c r="A106" s="22" t="s">
        <v>291</v>
      </c>
      <c r="B106" s="1" t="s">
        <v>144</v>
      </c>
      <c r="C106" s="23">
        <f>SUM(Прил3!C51)</f>
        <v>4679714</v>
      </c>
      <c r="D106" s="23">
        <f>SUM(Прил3!D51)</f>
        <v>3234740</v>
      </c>
      <c r="E106" s="23">
        <f>SUM(Прил3!E51)</f>
        <v>240540</v>
      </c>
      <c r="F106" s="23">
        <f>SUM(Прил3!F51)</f>
        <v>83600</v>
      </c>
      <c r="G106" s="23">
        <f>SUM(Прил3!G51)</f>
        <v>83600</v>
      </c>
      <c r="H106" s="23">
        <f>SUM(Прил3!H51)</f>
        <v>0</v>
      </c>
      <c r="I106" s="23">
        <f>SUM(Прил3!I51)</f>
        <v>24700</v>
      </c>
      <c r="J106" s="23">
        <f>SUM(Прил3!J51)</f>
        <v>0</v>
      </c>
      <c r="K106" s="23">
        <f>SUM(Прил3!K51)</f>
        <v>0</v>
      </c>
      <c r="L106" s="23"/>
      <c r="M106" s="24">
        <f t="shared" si="3"/>
        <v>4763314</v>
      </c>
    </row>
    <row r="107" spans="1:13" ht="12.75">
      <c r="A107" s="22" t="s">
        <v>292</v>
      </c>
      <c r="B107" s="1" t="s">
        <v>591</v>
      </c>
      <c r="C107" s="23">
        <f>SUM(Прил3!C52)</f>
        <v>152320</v>
      </c>
      <c r="D107" s="23">
        <v>0</v>
      </c>
      <c r="E107" s="23">
        <v>0</v>
      </c>
      <c r="F107" s="23">
        <v>0</v>
      </c>
      <c r="G107" s="23">
        <v>0</v>
      </c>
      <c r="H107" s="23">
        <v>0</v>
      </c>
      <c r="I107" s="23">
        <v>0</v>
      </c>
      <c r="J107" s="23">
        <v>0</v>
      </c>
      <c r="K107" s="23">
        <v>0</v>
      </c>
      <c r="L107" s="23"/>
      <c r="M107" s="24">
        <f t="shared" si="3"/>
        <v>152320</v>
      </c>
    </row>
    <row r="108" spans="1:13" ht="65.25" customHeight="1">
      <c r="A108" s="22" t="s">
        <v>285</v>
      </c>
      <c r="B108" s="1" t="s">
        <v>765</v>
      </c>
      <c r="C108" s="23">
        <f>SUM(Прил3!C36+Прил3!C53+Прил3!C187)</f>
        <v>151220</v>
      </c>
      <c r="D108" s="23">
        <v>0</v>
      </c>
      <c r="E108" s="23">
        <v>0</v>
      </c>
      <c r="F108" s="23">
        <v>0</v>
      </c>
      <c r="G108" s="23">
        <v>0</v>
      </c>
      <c r="H108" s="23">
        <v>0</v>
      </c>
      <c r="I108" s="23">
        <v>0</v>
      </c>
      <c r="J108" s="23">
        <v>0</v>
      </c>
      <c r="K108" s="23">
        <v>0</v>
      </c>
      <c r="L108" s="23"/>
      <c r="M108" s="24">
        <f t="shared" si="3"/>
        <v>151220</v>
      </c>
    </row>
    <row r="109" spans="1:13" ht="38.25">
      <c r="A109" s="22" t="s">
        <v>842</v>
      </c>
      <c r="B109" s="1" t="s">
        <v>933</v>
      </c>
      <c r="C109" s="23">
        <f>SUM(Прил3!C188)</f>
        <v>23309630</v>
      </c>
      <c r="D109" s="23">
        <f>SUM(Прил3!D188)</f>
        <v>16784100</v>
      </c>
      <c r="E109" s="23">
        <f>SUM(Прил3!E188)</f>
        <v>286140</v>
      </c>
      <c r="F109" s="23">
        <f>SUM(Прил3!F188)</f>
        <v>79800</v>
      </c>
      <c r="G109" s="23">
        <f>SUM(Прил3!G188)</f>
        <v>79800</v>
      </c>
      <c r="H109" s="23">
        <f>SUM(Прил3!H188)</f>
        <v>52820</v>
      </c>
      <c r="I109" s="23">
        <f>SUM(Прил3!I188)</f>
        <v>0</v>
      </c>
      <c r="J109" s="23">
        <f>SUM(Прил3!J188)</f>
        <v>0</v>
      </c>
      <c r="K109" s="23">
        <f>SUM(Прил3!K188)</f>
        <v>0</v>
      </c>
      <c r="L109" s="23"/>
      <c r="M109" s="24">
        <f t="shared" si="3"/>
        <v>23389430</v>
      </c>
    </row>
    <row r="110" spans="1:13" ht="76.5">
      <c r="A110" s="22" t="s">
        <v>843</v>
      </c>
      <c r="B110" s="2" t="s">
        <v>188</v>
      </c>
      <c r="C110" s="23">
        <f>SUM(Прил3!C189)</f>
        <v>2080920</v>
      </c>
      <c r="D110" s="23">
        <v>0</v>
      </c>
      <c r="E110" s="23">
        <v>0</v>
      </c>
      <c r="F110" s="23">
        <v>0</v>
      </c>
      <c r="G110" s="23">
        <v>0</v>
      </c>
      <c r="H110" s="23">
        <v>0</v>
      </c>
      <c r="I110" s="23">
        <v>0</v>
      </c>
      <c r="J110" s="23">
        <v>0</v>
      </c>
      <c r="K110" s="23">
        <v>0</v>
      </c>
      <c r="L110" s="23"/>
      <c r="M110" s="24">
        <f t="shared" si="3"/>
        <v>2080920</v>
      </c>
    </row>
    <row r="111" spans="1:13" ht="75.75" customHeight="1">
      <c r="A111" s="22" t="s">
        <v>131</v>
      </c>
      <c r="B111" s="1" t="s">
        <v>458</v>
      </c>
      <c r="C111" s="23">
        <f>SUM(C112:C114)</f>
        <v>2655110</v>
      </c>
      <c r="D111" s="23">
        <v>0</v>
      </c>
      <c r="E111" s="23">
        <v>0</v>
      </c>
      <c r="F111" s="23">
        <v>0</v>
      </c>
      <c r="G111" s="23">
        <v>0</v>
      </c>
      <c r="H111" s="23">
        <v>0</v>
      </c>
      <c r="I111" s="23">
        <v>0</v>
      </c>
      <c r="J111" s="23">
        <v>0</v>
      </c>
      <c r="K111" s="23">
        <v>0</v>
      </c>
      <c r="L111" s="23"/>
      <c r="M111" s="24">
        <f t="shared" si="3"/>
        <v>2655110</v>
      </c>
    </row>
    <row r="112" spans="1:13" ht="51">
      <c r="A112" s="22"/>
      <c r="B112" s="1" t="s">
        <v>269</v>
      </c>
      <c r="C112" s="23">
        <f>SUM(Прил3!C191)</f>
        <v>2598630</v>
      </c>
      <c r="D112" s="23">
        <v>0</v>
      </c>
      <c r="E112" s="23">
        <v>0</v>
      </c>
      <c r="F112" s="23">
        <v>0</v>
      </c>
      <c r="G112" s="23">
        <v>0</v>
      </c>
      <c r="H112" s="23">
        <v>0</v>
      </c>
      <c r="I112" s="23">
        <v>0</v>
      </c>
      <c r="J112" s="23">
        <v>0</v>
      </c>
      <c r="K112" s="23">
        <v>0</v>
      </c>
      <c r="L112" s="23"/>
      <c r="M112" s="24">
        <f t="shared" si="3"/>
        <v>2598630</v>
      </c>
    </row>
    <row r="113" spans="1:13" ht="63.75">
      <c r="A113" s="22"/>
      <c r="B113" s="2" t="s">
        <v>132</v>
      </c>
      <c r="C113" s="23">
        <f>SUM(Прил3!C192)</f>
        <v>40660</v>
      </c>
      <c r="D113" s="23">
        <v>0</v>
      </c>
      <c r="E113" s="23">
        <v>0</v>
      </c>
      <c r="F113" s="23">
        <v>0</v>
      </c>
      <c r="G113" s="23">
        <v>0</v>
      </c>
      <c r="H113" s="23">
        <v>0</v>
      </c>
      <c r="I113" s="23">
        <v>0</v>
      </c>
      <c r="J113" s="23">
        <v>0</v>
      </c>
      <c r="K113" s="23">
        <v>0</v>
      </c>
      <c r="L113" s="23"/>
      <c r="M113" s="24">
        <f t="shared" si="3"/>
        <v>40660</v>
      </c>
    </row>
    <row r="114" spans="1:13" ht="153">
      <c r="A114" s="22"/>
      <c r="B114" s="1" t="s">
        <v>106</v>
      </c>
      <c r="C114" s="23">
        <f>SUM(Прил3!C193)</f>
        <v>15820</v>
      </c>
      <c r="D114" s="23">
        <v>0</v>
      </c>
      <c r="E114" s="23">
        <v>0</v>
      </c>
      <c r="F114" s="23">
        <v>0</v>
      </c>
      <c r="G114" s="23">
        <v>0</v>
      </c>
      <c r="H114" s="23">
        <v>0</v>
      </c>
      <c r="I114" s="23">
        <v>0</v>
      </c>
      <c r="J114" s="23">
        <v>0</v>
      </c>
      <c r="K114" s="23">
        <v>0</v>
      </c>
      <c r="L114" s="23"/>
      <c r="M114" s="24">
        <f t="shared" si="3"/>
        <v>15820</v>
      </c>
    </row>
    <row r="115" spans="1:13" ht="25.5">
      <c r="A115" s="22" t="s">
        <v>844</v>
      </c>
      <c r="B115" s="1" t="s">
        <v>573</v>
      </c>
      <c r="C115" s="23">
        <f>SUM(Прил3!C194)</f>
        <v>437640</v>
      </c>
      <c r="D115" s="23">
        <f>SUM(Прил3!D194)</f>
        <v>0</v>
      </c>
      <c r="E115" s="23">
        <f>SUM(Прил3!E194)</f>
        <v>0</v>
      </c>
      <c r="F115" s="23">
        <f>SUM(Прил3!F194)</f>
        <v>0</v>
      </c>
      <c r="G115" s="23">
        <f>SUM(Прил3!G194)</f>
        <v>0</v>
      </c>
      <c r="H115" s="23">
        <f>SUM(Прил3!H194)</f>
        <v>0</v>
      </c>
      <c r="I115" s="23">
        <f>SUM(Прил3!I194)</f>
        <v>0</v>
      </c>
      <c r="J115" s="23">
        <f>SUM(Прил3!J194)</f>
        <v>0</v>
      </c>
      <c r="K115" s="23">
        <f>SUM(Прил3!K194)</f>
        <v>0</v>
      </c>
      <c r="L115" s="23"/>
      <c r="M115" s="24">
        <f t="shared" si="3"/>
        <v>437640</v>
      </c>
    </row>
    <row r="116" spans="1:13" ht="51">
      <c r="A116" s="22" t="s">
        <v>845</v>
      </c>
      <c r="B116" s="1" t="s">
        <v>333</v>
      </c>
      <c r="C116" s="23">
        <v>13299354</v>
      </c>
      <c r="D116" s="23">
        <v>0</v>
      </c>
      <c r="E116" s="23">
        <v>0</v>
      </c>
      <c r="F116" s="23">
        <v>0</v>
      </c>
      <c r="G116" s="23">
        <v>0</v>
      </c>
      <c r="H116" s="23">
        <v>0</v>
      </c>
      <c r="I116" s="23">
        <v>0</v>
      </c>
      <c r="J116" s="23">
        <v>0</v>
      </c>
      <c r="K116" s="23">
        <v>0</v>
      </c>
      <c r="L116" s="23"/>
      <c r="M116" s="24">
        <f t="shared" si="3"/>
        <v>13299354</v>
      </c>
    </row>
    <row r="117" spans="1:13" ht="38.25">
      <c r="A117" s="22" t="s">
        <v>845</v>
      </c>
      <c r="B117" s="1" t="s">
        <v>133</v>
      </c>
      <c r="C117" s="23">
        <f>SUM(Прил3!C197)</f>
        <v>57128306</v>
      </c>
      <c r="D117" s="23">
        <v>0</v>
      </c>
      <c r="E117" s="23">
        <v>0</v>
      </c>
      <c r="F117" s="23">
        <v>0</v>
      </c>
      <c r="G117" s="23">
        <v>0</v>
      </c>
      <c r="H117" s="23">
        <v>0</v>
      </c>
      <c r="I117" s="23">
        <v>0</v>
      </c>
      <c r="J117" s="23">
        <v>0</v>
      </c>
      <c r="K117" s="23">
        <v>0</v>
      </c>
      <c r="L117" s="23"/>
      <c r="M117" s="24">
        <f t="shared" si="3"/>
        <v>57128306</v>
      </c>
    </row>
    <row r="118" spans="1:13" ht="52.5" customHeight="1">
      <c r="A118" s="22" t="s">
        <v>846</v>
      </c>
      <c r="B118" s="1" t="s">
        <v>805</v>
      </c>
      <c r="C118" s="23">
        <f>SUM(Прил3!C198)</f>
        <v>239172</v>
      </c>
      <c r="D118" s="23">
        <v>0</v>
      </c>
      <c r="E118" s="23">
        <v>0</v>
      </c>
      <c r="F118" s="23">
        <v>0</v>
      </c>
      <c r="G118" s="23">
        <v>0</v>
      </c>
      <c r="H118" s="23">
        <v>0</v>
      </c>
      <c r="I118" s="23">
        <v>0</v>
      </c>
      <c r="J118" s="23">
        <v>0</v>
      </c>
      <c r="K118" s="23">
        <v>0</v>
      </c>
      <c r="L118" s="23"/>
      <c r="M118" s="24">
        <f t="shared" si="3"/>
        <v>239172</v>
      </c>
    </row>
    <row r="119" spans="1:13" ht="25.5">
      <c r="A119" s="22" t="s">
        <v>847</v>
      </c>
      <c r="B119" s="1" t="s">
        <v>24</v>
      </c>
      <c r="C119" s="23">
        <f>SUM(Прил3!C199)</f>
        <v>4788</v>
      </c>
      <c r="D119" s="23">
        <v>0</v>
      </c>
      <c r="E119" s="23">
        <v>0</v>
      </c>
      <c r="F119" s="23">
        <v>0</v>
      </c>
      <c r="G119" s="23">
        <v>0</v>
      </c>
      <c r="H119" s="23">
        <v>0</v>
      </c>
      <c r="I119" s="23">
        <v>0</v>
      </c>
      <c r="J119" s="23">
        <v>0</v>
      </c>
      <c r="K119" s="23">
        <v>0</v>
      </c>
      <c r="L119" s="23"/>
      <c r="M119" s="24">
        <f t="shared" si="3"/>
        <v>4788</v>
      </c>
    </row>
    <row r="120" spans="1:13" ht="12.75">
      <c r="A120" s="20" t="s">
        <v>25</v>
      </c>
      <c r="B120" s="4" t="s">
        <v>501</v>
      </c>
      <c r="C120" s="21">
        <f>SUM(C121)</f>
        <v>69579041</v>
      </c>
      <c r="D120" s="21">
        <v>0</v>
      </c>
      <c r="E120" s="21">
        <v>4907586</v>
      </c>
      <c r="F120" s="21">
        <v>0</v>
      </c>
      <c r="G120" s="21">
        <v>0</v>
      </c>
      <c r="H120" s="21">
        <v>0</v>
      </c>
      <c r="I120" s="21">
        <v>0</v>
      </c>
      <c r="J120" s="21">
        <v>0</v>
      </c>
      <c r="K120" s="21">
        <v>0</v>
      </c>
      <c r="L120" s="21"/>
      <c r="M120" s="21">
        <f t="shared" si="3"/>
        <v>69579041</v>
      </c>
    </row>
    <row r="121" spans="1:13" ht="12.75">
      <c r="A121" s="22" t="s">
        <v>257</v>
      </c>
      <c r="B121" s="1" t="s">
        <v>593</v>
      </c>
      <c r="C121" s="23">
        <f>SUM(Прил3!C262)</f>
        <v>69579041</v>
      </c>
      <c r="D121" s="23">
        <v>0</v>
      </c>
      <c r="E121" s="23">
        <v>4907586</v>
      </c>
      <c r="F121" s="23">
        <v>0</v>
      </c>
      <c r="G121" s="23">
        <v>0</v>
      </c>
      <c r="H121" s="23">
        <v>0</v>
      </c>
      <c r="I121" s="23">
        <v>0</v>
      </c>
      <c r="J121" s="23">
        <v>0</v>
      </c>
      <c r="K121" s="23">
        <v>0</v>
      </c>
      <c r="L121" s="23"/>
      <c r="M121" s="24">
        <f t="shared" si="3"/>
        <v>69579041</v>
      </c>
    </row>
    <row r="122" spans="1:13" ht="12.75">
      <c r="A122" s="20" t="s">
        <v>848</v>
      </c>
      <c r="B122" s="4" t="s">
        <v>499</v>
      </c>
      <c r="C122" s="21">
        <f>SUM(C123:C128)</f>
        <v>81845761</v>
      </c>
      <c r="D122" s="21">
        <f>SUM(D123:D128)</f>
        <v>55106490</v>
      </c>
      <c r="E122" s="21">
        <f>SUM(E123:E128)</f>
        <v>3300551.0700000003</v>
      </c>
      <c r="F122" s="21">
        <v>6410790</v>
      </c>
      <c r="G122" s="21">
        <f>SUM(G123:G128)</f>
        <v>6132250</v>
      </c>
      <c r="H122" s="21">
        <f>SUM(H123:H128)</f>
        <v>3373260</v>
      </c>
      <c r="I122" s="21">
        <f>SUM(I123:I128)</f>
        <v>83980</v>
      </c>
      <c r="J122" s="21">
        <f>SUM(J123:J128)</f>
        <v>278540</v>
      </c>
      <c r="K122" s="21">
        <v>0</v>
      </c>
      <c r="L122" s="21"/>
      <c r="M122" s="21">
        <f t="shared" si="3"/>
        <v>88256551</v>
      </c>
    </row>
    <row r="123" spans="1:13" ht="12.75">
      <c r="A123" s="22" t="s">
        <v>251</v>
      </c>
      <c r="B123" s="1" t="s">
        <v>648</v>
      </c>
      <c r="C123" s="23">
        <f>SUM(Прил3!C232)</f>
        <v>988000</v>
      </c>
      <c r="D123" s="23">
        <v>0</v>
      </c>
      <c r="E123" s="23">
        <v>0</v>
      </c>
      <c r="F123" s="23">
        <v>0</v>
      </c>
      <c r="G123" s="23">
        <v>0</v>
      </c>
      <c r="H123" s="23">
        <v>0</v>
      </c>
      <c r="I123" s="23">
        <v>0</v>
      </c>
      <c r="J123" s="23">
        <v>0</v>
      </c>
      <c r="K123" s="23">
        <v>0</v>
      </c>
      <c r="L123" s="23"/>
      <c r="M123" s="24">
        <f t="shared" si="3"/>
        <v>988000</v>
      </c>
    </row>
    <row r="124" spans="1:13" ht="12.75">
      <c r="A124" s="22" t="s">
        <v>252</v>
      </c>
      <c r="B124" s="1" t="s">
        <v>649</v>
      </c>
      <c r="C124" s="23">
        <f>SUM(Прил3!C233)</f>
        <v>15817453</v>
      </c>
      <c r="D124" s="23">
        <f>SUM(Прил3!D233)</f>
        <v>10818420</v>
      </c>
      <c r="E124" s="23">
        <f>SUM(Прил3!E233)</f>
        <v>1093260</v>
      </c>
      <c r="F124" s="23">
        <f>SUM(Прил3!F233)</f>
        <v>233320</v>
      </c>
      <c r="G124" s="23">
        <f>SUM(Прил3!G233)</f>
        <v>195320</v>
      </c>
      <c r="H124" s="23">
        <f>SUM(Прил3!H233)</f>
        <v>9500</v>
      </c>
      <c r="I124" s="23">
        <f>SUM(Прил3!I233)</f>
        <v>0</v>
      </c>
      <c r="J124" s="23">
        <f>SUM(Прил3!J233)</f>
        <v>38000</v>
      </c>
      <c r="K124" s="23">
        <v>0</v>
      </c>
      <c r="L124" s="23"/>
      <c r="M124" s="24">
        <f t="shared" si="3"/>
        <v>16050773</v>
      </c>
    </row>
    <row r="125" spans="1:13" ht="12.75">
      <c r="A125" s="22" t="s">
        <v>253</v>
      </c>
      <c r="B125" s="1" t="s">
        <v>650</v>
      </c>
      <c r="C125" s="23">
        <f>SUM(Прил3!C234)</f>
        <v>8656098</v>
      </c>
      <c r="D125" s="23">
        <f>SUM(Прил3!D234)</f>
        <v>6090780</v>
      </c>
      <c r="E125" s="23">
        <f>SUM(Прил3!E234)</f>
        <v>384560</v>
      </c>
      <c r="F125" s="23">
        <f>SUM(Прил3!F234)</f>
        <v>912000</v>
      </c>
      <c r="G125" s="23">
        <f>SUM(Прил3!G234)</f>
        <v>709460</v>
      </c>
      <c r="H125" s="23">
        <f>SUM(Прил3!H234)</f>
        <v>57760</v>
      </c>
      <c r="I125" s="23">
        <f>SUM(Прил3!I234)</f>
        <v>11400</v>
      </c>
      <c r="J125" s="23">
        <f>SUM(Прил3!J234)</f>
        <v>202540</v>
      </c>
      <c r="K125" s="23">
        <v>0</v>
      </c>
      <c r="L125" s="23"/>
      <c r="M125" s="24">
        <f t="shared" si="3"/>
        <v>9568098</v>
      </c>
    </row>
    <row r="126" spans="1:13" ht="25.5">
      <c r="A126" s="22" t="s">
        <v>250</v>
      </c>
      <c r="B126" s="1" t="s">
        <v>840</v>
      </c>
      <c r="C126" s="23">
        <f>SUM(Прил3!C235+Прил3!C221)</f>
        <v>7399430</v>
      </c>
      <c r="D126" s="23">
        <f>SUM(Прил3!D235)</f>
        <v>4824180</v>
      </c>
      <c r="E126" s="23">
        <f>SUM(Прил3!E235)</f>
        <v>237691.07</v>
      </c>
      <c r="F126" s="23">
        <f>SUM(Прил3!F235)</f>
        <v>228570</v>
      </c>
      <c r="G126" s="23">
        <f>SUM(Прил3!G235)</f>
        <v>228570</v>
      </c>
      <c r="H126" s="23">
        <f>SUM(Прил3!H235)</f>
        <v>0</v>
      </c>
      <c r="I126" s="23">
        <f>SUM(Прил3!I235)</f>
        <v>33060</v>
      </c>
      <c r="J126" s="23">
        <v>0</v>
      </c>
      <c r="K126" s="23">
        <v>0</v>
      </c>
      <c r="L126" s="23"/>
      <c r="M126" s="24">
        <f t="shared" si="3"/>
        <v>7628000</v>
      </c>
    </row>
    <row r="127" spans="1:13" ht="12.75">
      <c r="A127" s="22" t="s">
        <v>254</v>
      </c>
      <c r="B127" s="1" t="s">
        <v>492</v>
      </c>
      <c r="C127" s="23">
        <f>SUM(Прил3!C236)</f>
        <v>43753271</v>
      </c>
      <c r="D127" s="23">
        <f>SUM(Прил3!D236)</f>
        <v>31006020</v>
      </c>
      <c r="E127" s="23">
        <f>SUM(Прил3!E236)</f>
        <v>1565280</v>
      </c>
      <c r="F127" s="23">
        <f>SUM(Прил3!F236)</f>
        <v>5036900</v>
      </c>
      <c r="G127" s="23">
        <f>SUM(Прил3!G236)</f>
        <v>4998900</v>
      </c>
      <c r="H127" s="23">
        <f>SUM(Прил3!H236)</f>
        <v>3306000</v>
      </c>
      <c r="I127" s="23">
        <f>SUM(Прил3!I236)</f>
        <v>39520</v>
      </c>
      <c r="J127" s="23">
        <f>SUM(Прил3!J236)</f>
        <v>38000</v>
      </c>
      <c r="K127" s="23">
        <v>0</v>
      </c>
      <c r="L127" s="23"/>
      <c r="M127" s="24">
        <f t="shared" si="3"/>
        <v>48790171</v>
      </c>
    </row>
    <row r="128" spans="1:13" ht="25.5">
      <c r="A128" s="22" t="s">
        <v>849</v>
      </c>
      <c r="B128" s="1" t="s">
        <v>493</v>
      </c>
      <c r="C128" s="23">
        <f>SUM(Прил3!C237+Прил3!C200+Прил3!C222)</f>
        <v>5231509</v>
      </c>
      <c r="D128" s="23">
        <f>SUM(Прил3!D237)</f>
        <v>2367090</v>
      </c>
      <c r="E128" s="23">
        <f>SUM(Прил3!E237)</f>
        <v>19760</v>
      </c>
      <c r="F128" s="23">
        <f>SUM(Прил3!F237)</f>
        <v>0</v>
      </c>
      <c r="G128" s="23">
        <f>SUM(Прил3!G237)</f>
        <v>0</v>
      </c>
      <c r="H128" s="23">
        <f>SUM(Прил3!H237)</f>
        <v>0</v>
      </c>
      <c r="I128" s="23">
        <f>SUM(Прил3!I237)</f>
        <v>0</v>
      </c>
      <c r="J128" s="23">
        <f>SUM(Прил3!J237)</f>
        <v>0</v>
      </c>
      <c r="K128" s="23">
        <f>SUM(Прил3!K237)</f>
        <v>0</v>
      </c>
      <c r="L128" s="23"/>
      <c r="M128" s="24">
        <f aca="true" t="shared" si="4" ref="M128:M154">C128+F128</f>
        <v>5231509</v>
      </c>
    </row>
    <row r="129" spans="1:13" ht="12.75">
      <c r="A129" s="20" t="s">
        <v>26</v>
      </c>
      <c r="B129" s="4" t="s">
        <v>502</v>
      </c>
      <c r="C129" s="21">
        <f>SUM(C130:C132)</f>
        <v>25096916</v>
      </c>
      <c r="D129" s="21">
        <f aca="true" t="shared" si="5" ref="D129:K129">SUM(D130:D132)</f>
        <v>12060520</v>
      </c>
      <c r="E129" s="21">
        <f t="shared" si="5"/>
        <v>1045540</v>
      </c>
      <c r="F129" s="21">
        <f t="shared" si="5"/>
        <v>0</v>
      </c>
      <c r="G129" s="21">
        <f t="shared" si="5"/>
        <v>0</v>
      </c>
      <c r="H129" s="21">
        <f t="shared" si="5"/>
        <v>0</v>
      </c>
      <c r="I129" s="21">
        <f t="shared" si="5"/>
        <v>0</v>
      </c>
      <c r="J129" s="21">
        <f t="shared" si="5"/>
        <v>0</v>
      </c>
      <c r="K129" s="21">
        <f t="shared" si="5"/>
        <v>0</v>
      </c>
      <c r="L129" s="21"/>
      <c r="M129" s="21">
        <f t="shared" si="4"/>
        <v>25096916</v>
      </c>
    </row>
    <row r="130" spans="1:13" ht="25.5">
      <c r="A130" s="22" t="s">
        <v>293</v>
      </c>
      <c r="B130" s="1" t="s">
        <v>191</v>
      </c>
      <c r="C130" s="23">
        <f>SUM(Прил3!C63+Прил3!C223)</f>
        <v>4029714</v>
      </c>
      <c r="D130" s="23">
        <f>SUM(Прил3!D63+Прил3!D223)</f>
        <v>0</v>
      </c>
      <c r="E130" s="23">
        <f>SUM(Прил3!E63+Прил3!E223)</f>
        <v>0</v>
      </c>
      <c r="F130" s="23">
        <f>SUM(Прил3!F63+Прил3!F223)</f>
        <v>0</v>
      </c>
      <c r="G130" s="23">
        <f>SUM(Прил3!G63+Прил3!G223)</f>
        <v>0</v>
      </c>
      <c r="H130" s="23">
        <f>SUM(Прил3!H63+Прил3!H223)</f>
        <v>0</v>
      </c>
      <c r="I130" s="23">
        <f>SUM(Прил3!I63+Прил3!I223)</f>
        <v>0</v>
      </c>
      <c r="J130" s="23">
        <f>SUM(Прил3!J63+Прил3!J223)</f>
        <v>0</v>
      </c>
      <c r="K130" s="23">
        <f>SUM(Прил3!K63+Прил3!K223)</f>
        <v>0</v>
      </c>
      <c r="L130" s="23"/>
      <c r="M130" s="24">
        <f t="shared" si="4"/>
        <v>4029714</v>
      </c>
    </row>
    <row r="131" spans="1:13" ht="25.5">
      <c r="A131" s="22" t="s">
        <v>286</v>
      </c>
      <c r="B131" s="1" t="s">
        <v>804</v>
      </c>
      <c r="C131" s="23">
        <f>SUM(Прил3!C66+Прил3!C37)</f>
        <v>17594311</v>
      </c>
      <c r="D131" s="23">
        <f>SUM(Прил3!D66+Прил3!D37)</f>
        <v>12060520</v>
      </c>
      <c r="E131" s="23">
        <f>SUM(Прил3!E66+Прил3!E37)</f>
        <v>1045540</v>
      </c>
      <c r="F131" s="23">
        <v>0</v>
      </c>
      <c r="G131" s="23">
        <v>0</v>
      </c>
      <c r="H131" s="23">
        <v>0</v>
      </c>
      <c r="I131" s="23">
        <v>0</v>
      </c>
      <c r="J131" s="23">
        <v>0</v>
      </c>
      <c r="K131" s="23">
        <v>0</v>
      </c>
      <c r="L131" s="23"/>
      <c r="M131" s="24">
        <f t="shared" si="4"/>
        <v>17594311</v>
      </c>
    </row>
    <row r="132" spans="1:13" ht="25.5">
      <c r="A132" s="22" t="s">
        <v>294</v>
      </c>
      <c r="B132" s="1" t="s">
        <v>928</v>
      </c>
      <c r="C132" s="23">
        <f>SUM(Прил3!C67)</f>
        <v>3472891</v>
      </c>
      <c r="D132" s="23">
        <f>SUM(Прил3!D67)</f>
        <v>0</v>
      </c>
      <c r="E132" s="23">
        <f>SUM(Прил3!E67)</f>
        <v>0</v>
      </c>
      <c r="F132" s="23">
        <f>SUM(Прил3!F67)</f>
        <v>0</v>
      </c>
      <c r="G132" s="23">
        <f>SUM(Прил3!G67)</f>
        <v>0</v>
      </c>
      <c r="H132" s="23">
        <f>SUM(Прил3!H67)</f>
        <v>0</v>
      </c>
      <c r="I132" s="23">
        <f>SUM(Прил3!I67)</f>
        <v>0</v>
      </c>
      <c r="J132" s="23">
        <f>SUM(Прил3!J67)</f>
        <v>0</v>
      </c>
      <c r="K132" s="23">
        <f>SUM(Прил3!K67)</f>
        <v>0</v>
      </c>
      <c r="L132" s="23"/>
      <c r="M132" s="24">
        <f t="shared" si="4"/>
        <v>3472891</v>
      </c>
    </row>
    <row r="133" spans="1:13" ht="12.75">
      <c r="A133" s="20" t="s">
        <v>27</v>
      </c>
      <c r="B133" s="4" t="s">
        <v>594</v>
      </c>
      <c r="C133" s="21">
        <v>0</v>
      </c>
      <c r="D133" s="21">
        <v>0</v>
      </c>
      <c r="E133" s="21">
        <v>0</v>
      </c>
      <c r="F133" s="21">
        <f>SUM(F134+F136+F137+F138)</f>
        <v>206826246</v>
      </c>
      <c r="G133" s="21">
        <v>0</v>
      </c>
      <c r="H133" s="21">
        <v>0</v>
      </c>
      <c r="I133" s="21">
        <v>0</v>
      </c>
      <c r="J133" s="21">
        <f>SUM(J134+J136+J137+J138)</f>
        <v>206826246</v>
      </c>
      <c r="K133" s="21">
        <f>SUM(K134+K136+K137+K138)</f>
        <v>206826246</v>
      </c>
      <c r="L133" s="21">
        <f>SUM(L137)</f>
        <v>0</v>
      </c>
      <c r="M133" s="21">
        <f t="shared" si="4"/>
        <v>206826246</v>
      </c>
    </row>
    <row r="134" spans="1:13" ht="12.75">
      <c r="A134" s="22" t="s">
        <v>321</v>
      </c>
      <c r="B134" s="1" t="s">
        <v>572</v>
      </c>
      <c r="C134" s="23">
        <v>0</v>
      </c>
      <c r="D134" s="23">
        <v>0</v>
      </c>
      <c r="E134" s="23">
        <v>0</v>
      </c>
      <c r="F134" s="23">
        <f>174300600+543700</f>
        <v>174844300</v>
      </c>
      <c r="G134" s="23">
        <v>0</v>
      </c>
      <c r="H134" s="23">
        <v>0</v>
      </c>
      <c r="I134" s="23">
        <v>0</v>
      </c>
      <c r="J134" s="23">
        <f>174300600+543700</f>
        <v>174844300</v>
      </c>
      <c r="K134" s="23">
        <f>174300600+543700</f>
        <v>174844300</v>
      </c>
      <c r="L134" s="23"/>
      <c r="M134" s="24">
        <f t="shared" si="4"/>
        <v>174844300</v>
      </c>
    </row>
    <row r="135" spans="1:13" ht="63.75">
      <c r="A135" s="22"/>
      <c r="B135" s="2" t="s">
        <v>934</v>
      </c>
      <c r="C135" s="23"/>
      <c r="D135" s="23"/>
      <c r="E135" s="23"/>
      <c r="F135" s="23">
        <v>543700</v>
      </c>
      <c r="G135" s="23"/>
      <c r="H135" s="23"/>
      <c r="I135" s="23"/>
      <c r="J135" s="23">
        <v>543700</v>
      </c>
      <c r="K135" s="23">
        <v>543700</v>
      </c>
      <c r="L135" s="23"/>
      <c r="M135" s="24">
        <f>SUM(F135)</f>
        <v>543700</v>
      </c>
    </row>
    <row r="136" spans="1:13" ht="25.5">
      <c r="A136" s="22" t="s">
        <v>321</v>
      </c>
      <c r="B136" s="2" t="s">
        <v>76</v>
      </c>
      <c r="C136" s="23"/>
      <c r="D136" s="23"/>
      <c r="E136" s="23"/>
      <c r="F136" s="23">
        <f>SUM(J136)</f>
        <v>29793600</v>
      </c>
      <c r="G136" s="23"/>
      <c r="H136" s="23"/>
      <c r="I136" s="23"/>
      <c r="J136" s="23">
        <f>SUM(Прил3!J264+Прил3!J281)</f>
        <v>29793600</v>
      </c>
      <c r="K136" s="23">
        <f>SUM(Прил3!K264+Прил3!K281)</f>
        <v>29793600</v>
      </c>
      <c r="L136" s="23"/>
      <c r="M136" s="24">
        <f>SUM(F136)</f>
        <v>29793600</v>
      </c>
    </row>
    <row r="137" spans="1:13" ht="102">
      <c r="A137" s="43">
        <v>150104</v>
      </c>
      <c r="B137" s="98" t="s">
        <v>807</v>
      </c>
      <c r="C137" s="23"/>
      <c r="D137" s="23"/>
      <c r="E137" s="23"/>
      <c r="F137" s="23">
        <f>SUM(Прил3!F282)</f>
        <v>0</v>
      </c>
      <c r="G137" s="23">
        <f>SUM(Прил3!G282)</f>
        <v>0</v>
      </c>
      <c r="H137" s="23">
        <f>SUM(Прил3!H282)</f>
        <v>0</v>
      </c>
      <c r="I137" s="23">
        <f>SUM(Прил3!I282)</f>
        <v>0</v>
      </c>
      <c r="J137" s="23">
        <f>SUM(Прил3!J282)</f>
        <v>0</v>
      </c>
      <c r="K137" s="23">
        <f>SUM(Прил3!K282)</f>
        <v>0</v>
      </c>
      <c r="L137" s="23">
        <f>SUM(Прил3!L282)</f>
        <v>0</v>
      </c>
      <c r="M137" s="23">
        <f>SUM(Прил3!M282)</f>
        <v>0</v>
      </c>
    </row>
    <row r="138" spans="1:13" ht="25.5">
      <c r="A138" s="22" t="s">
        <v>320</v>
      </c>
      <c r="B138" s="1" t="s">
        <v>802</v>
      </c>
      <c r="C138" s="23">
        <v>0</v>
      </c>
      <c r="D138" s="23">
        <v>0</v>
      </c>
      <c r="E138" s="23">
        <v>0</v>
      </c>
      <c r="F138" s="23">
        <v>2188346</v>
      </c>
      <c r="G138" s="23">
        <v>0</v>
      </c>
      <c r="H138" s="23">
        <v>0</v>
      </c>
      <c r="I138" s="23">
        <v>0</v>
      </c>
      <c r="J138" s="23">
        <v>2188346</v>
      </c>
      <c r="K138" s="23">
        <v>2188346</v>
      </c>
      <c r="L138" s="23"/>
      <c r="M138" s="24">
        <f t="shared" si="4"/>
        <v>2188346</v>
      </c>
    </row>
    <row r="139" spans="1:13" ht="25.5">
      <c r="A139" s="20" t="s">
        <v>28</v>
      </c>
      <c r="B139" s="4" t="s">
        <v>125</v>
      </c>
      <c r="C139" s="21">
        <f>SUM(C140)</f>
        <v>3387932</v>
      </c>
      <c r="D139" s="21">
        <v>0</v>
      </c>
      <c r="E139" s="21">
        <v>0</v>
      </c>
      <c r="F139" s="21">
        <v>41800</v>
      </c>
      <c r="G139" s="21">
        <v>0</v>
      </c>
      <c r="H139" s="21">
        <v>0</v>
      </c>
      <c r="I139" s="21">
        <v>0</v>
      </c>
      <c r="J139" s="21">
        <v>41800</v>
      </c>
      <c r="K139" s="21">
        <v>41800</v>
      </c>
      <c r="L139" s="21"/>
      <c r="M139" s="21">
        <f t="shared" si="4"/>
        <v>3429732</v>
      </c>
    </row>
    <row r="140" spans="1:13" ht="12.75">
      <c r="A140" s="22" t="s">
        <v>259</v>
      </c>
      <c r="B140" s="1" t="s">
        <v>124</v>
      </c>
      <c r="C140" s="23">
        <f>SUM(Прил3!C291)</f>
        <v>3387932</v>
      </c>
      <c r="D140" s="23">
        <v>0</v>
      </c>
      <c r="E140" s="23">
        <v>0</v>
      </c>
      <c r="F140" s="23">
        <v>41800</v>
      </c>
      <c r="G140" s="23">
        <v>0</v>
      </c>
      <c r="H140" s="23">
        <v>0</v>
      </c>
      <c r="I140" s="23">
        <v>0</v>
      </c>
      <c r="J140" s="23">
        <v>41800</v>
      </c>
      <c r="K140" s="23">
        <v>41800</v>
      </c>
      <c r="L140" s="23"/>
      <c r="M140" s="24">
        <f t="shared" si="4"/>
        <v>3429732</v>
      </c>
    </row>
    <row r="141" spans="1:13" ht="25.5">
      <c r="A141" s="20" t="s">
        <v>29</v>
      </c>
      <c r="B141" s="5" t="s">
        <v>184</v>
      </c>
      <c r="C141" s="21">
        <f>SUM(C142+C143+C145+C146)</f>
        <v>28413738</v>
      </c>
      <c r="D141" s="21">
        <v>0</v>
      </c>
      <c r="E141" s="21">
        <v>0</v>
      </c>
      <c r="F141" s="21">
        <v>19225433</v>
      </c>
      <c r="G141" s="21">
        <v>3444185</v>
      </c>
      <c r="H141" s="21">
        <v>0</v>
      </c>
      <c r="I141" s="21">
        <v>0</v>
      </c>
      <c r="J141" s="21">
        <v>15781248</v>
      </c>
      <c r="K141" s="21">
        <v>0</v>
      </c>
      <c r="L141" s="21"/>
      <c r="M141" s="21">
        <f t="shared" si="4"/>
        <v>47639171</v>
      </c>
    </row>
    <row r="142" spans="1:13" ht="51">
      <c r="A142" s="22" t="s">
        <v>850</v>
      </c>
      <c r="B142" s="26" t="s">
        <v>823</v>
      </c>
      <c r="C142" s="23">
        <f>SUM(Прил3!C203)</f>
        <v>52060</v>
      </c>
      <c r="D142" s="23">
        <v>0</v>
      </c>
      <c r="E142" s="23">
        <v>0</v>
      </c>
      <c r="F142" s="23">
        <v>0</v>
      </c>
      <c r="G142" s="23">
        <v>0</v>
      </c>
      <c r="H142" s="23">
        <v>0</v>
      </c>
      <c r="I142" s="23">
        <v>0</v>
      </c>
      <c r="J142" s="23">
        <v>0</v>
      </c>
      <c r="K142" s="23">
        <v>0</v>
      </c>
      <c r="L142" s="23"/>
      <c r="M142" s="24">
        <f t="shared" si="4"/>
        <v>52060</v>
      </c>
    </row>
    <row r="143" spans="1:13" ht="51">
      <c r="A143" s="22" t="s">
        <v>850</v>
      </c>
      <c r="B143" s="26" t="s">
        <v>481</v>
      </c>
      <c r="C143" s="23">
        <f>SUM(Прил3!C204)</f>
        <v>1467940</v>
      </c>
      <c r="D143" s="23">
        <v>0</v>
      </c>
      <c r="E143" s="23">
        <v>0</v>
      </c>
      <c r="F143" s="23">
        <v>0</v>
      </c>
      <c r="G143" s="23">
        <v>0</v>
      </c>
      <c r="H143" s="23">
        <v>0</v>
      </c>
      <c r="I143" s="23">
        <v>0</v>
      </c>
      <c r="J143" s="23">
        <v>0</v>
      </c>
      <c r="K143" s="23">
        <v>0</v>
      </c>
      <c r="L143" s="23"/>
      <c r="M143" s="24">
        <f t="shared" si="4"/>
        <v>1467940</v>
      </c>
    </row>
    <row r="144" spans="1:13" ht="51">
      <c r="A144" s="22" t="s">
        <v>248</v>
      </c>
      <c r="B144" s="26" t="s">
        <v>147</v>
      </c>
      <c r="C144" s="23">
        <f>SUM(Прил3!C205)</f>
        <v>0</v>
      </c>
      <c r="D144" s="23">
        <v>0</v>
      </c>
      <c r="E144" s="23">
        <v>0</v>
      </c>
      <c r="F144" s="23">
        <v>0</v>
      </c>
      <c r="G144" s="23">
        <v>0</v>
      </c>
      <c r="H144" s="23">
        <v>0</v>
      </c>
      <c r="I144" s="23">
        <v>0</v>
      </c>
      <c r="J144" s="23">
        <v>0</v>
      </c>
      <c r="K144" s="23">
        <v>0</v>
      </c>
      <c r="L144" s="23"/>
      <c r="M144" s="24">
        <f t="shared" si="4"/>
        <v>0</v>
      </c>
    </row>
    <row r="145" spans="1:13" ht="51">
      <c r="A145" s="22" t="s">
        <v>249</v>
      </c>
      <c r="B145" s="26" t="s">
        <v>179</v>
      </c>
      <c r="C145" s="23">
        <f>SUM(Прил3!C208)</f>
        <v>2757280</v>
      </c>
      <c r="D145" s="23">
        <v>0</v>
      </c>
      <c r="E145" s="23">
        <v>0</v>
      </c>
      <c r="F145" s="23">
        <v>0</v>
      </c>
      <c r="G145" s="23">
        <v>0</v>
      </c>
      <c r="H145" s="23">
        <v>0</v>
      </c>
      <c r="I145" s="23">
        <v>0</v>
      </c>
      <c r="J145" s="23">
        <v>0</v>
      </c>
      <c r="K145" s="23">
        <v>0</v>
      </c>
      <c r="L145" s="23"/>
      <c r="M145" s="24">
        <f t="shared" si="4"/>
        <v>2757280</v>
      </c>
    </row>
    <row r="146" spans="1:13" ht="51">
      <c r="A146" s="22" t="s">
        <v>249</v>
      </c>
      <c r="B146" s="26" t="s">
        <v>723</v>
      </c>
      <c r="C146" s="23">
        <f>SUM(Прил3!C209)</f>
        <v>24136458</v>
      </c>
      <c r="D146" s="23">
        <v>0</v>
      </c>
      <c r="E146" s="23">
        <v>0</v>
      </c>
      <c r="F146" s="23">
        <v>0</v>
      </c>
      <c r="G146" s="23">
        <v>0</v>
      </c>
      <c r="H146" s="23">
        <v>0</v>
      </c>
      <c r="I146" s="23">
        <v>0</v>
      </c>
      <c r="J146" s="23">
        <v>0</v>
      </c>
      <c r="K146" s="23">
        <v>0</v>
      </c>
      <c r="L146" s="23"/>
      <c r="M146" s="24">
        <f t="shared" si="4"/>
        <v>24136458</v>
      </c>
    </row>
    <row r="147" spans="1:13" ht="38.25">
      <c r="A147" s="22" t="s">
        <v>245</v>
      </c>
      <c r="B147" s="26" t="s">
        <v>658</v>
      </c>
      <c r="C147" s="23">
        <v>0</v>
      </c>
      <c r="D147" s="23">
        <v>0</v>
      </c>
      <c r="E147" s="23">
        <v>0</v>
      </c>
      <c r="F147" s="23">
        <v>1464140</v>
      </c>
      <c r="G147" s="23">
        <v>1464140</v>
      </c>
      <c r="H147" s="23">
        <v>0</v>
      </c>
      <c r="I147" s="23">
        <v>0</v>
      </c>
      <c r="J147" s="23">
        <v>0</v>
      </c>
      <c r="K147" s="23">
        <v>0</v>
      </c>
      <c r="L147" s="23"/>
      <c r="M147" s="24">
        <f t="shared" si="4"/>
        <v>1464140</v>
      </c>
    </row>
    <row r="148" spans="1:13" ht="51">
      <c r="A148" s="22" t="s">
        <v>245</v>
      </c>
      <c r="B148" s="26" t="s">
        <v>724</v>
      </c>
      <c r="C148" s="23">
        <v>0</v>
      </c>
      <c r="D148" s="23">
        <v>0</v>
      </c>
      <c r="E148" s="23">
        <v>0</v>
      </c>
      <c r="F148" s="23">
        <v>195309</v>
      </c>
      <c r="G148" s="23">
        <v>195309</v>
      </c>
      <c r="H148" s="23">
        <v>0</v>
      </c>
      <c r="I148" s="23">
        <v>0</v>
      </c>
      <c r="J148" s="23">
        <v>0</v>
      </c>
      <c r="K148" s="23">
        <v>0</v>
      </c>
      <c r="L148" s="23"/>
      <c r="M148" s="24">
        <f t="shared" si="4"/>
        <v>195309</v>
      </c>
    </row>
    <row r="149" spans="1:13" ht="51">
      <c r="A149" s="22" t="s">
        <v>245</v>
      </c>
      <c r="B149" s="27" t="s">
        <v>725</v>
      </c>
      <c r="C149" s="23">
        <v>0</v>
      </c>
      <c r="D149" s="23">
        <v>0</v>
      </c>
      <c r="E149" s="23">
        <v>0</v>
      </c>
      <c r="F149" s="23">
        <v>1187394</v>
      </c>
      <c r="G149" s="23">
        <v>701834</v>
      </c>
      <c r="H149" s="23">
        <v>0</v>
      </c>
      <c r="I149" s="23">
        <v>0</v>
      </c>
      <c r="J149" s="23">
        <v>485560</v>
      </c>
      <c r="K149" s="23">
        <v>0</v>
      </c>
      <c r="L149" s="23"/>
      <c r="M149" s="24">
        <f t="shared" si="4"/>
        <v>1187394</v>
      </c>
    </row>
    <row r="150" spans="1:13" ht="51">
      <c r="A150" s="22" t="s">
        <v>245</v>
      </c>
      <c r="B150" s="27" t="s">
        <v>30</v>
      </c>
      <c r="C150" s="23">
        <v>0</v>
      </c>
      <c r="D150" s="23">
        <v>0</v>
      </c>
      <c r="E150" s="23">
        <v>0</v>
      </c>
      <c r="F150" s="23">
        <v>9521766</v>
      </c>
      <c r="G150" s="23">
        <v>2725006</v>
      </c>
      <c r="H150" s="23">
        <v>0</v>
      </c>
      <c r="I150" s="23">
        <v>0</v>
      </c>
      <c r="J150" s="23">
        <v>6796760</v>
      </c>
      <c r="K150" s="23">
        <v>0</v>
      </c>
      <c r="L150" s="23"/>
      <c r="M150" s="24">
        <f t="shared" si="4"/>
        <v>9521766</v>
      </c>
    </row>
    <row r="151" spans="1:13" ht="51">
      <c r="A151" s="22" t="s">
        <v>245</v>
      </c>
      <c r="B151" s="27" t="s">
        <v>32</v>
      </c>
      <c r="C151" s="23">
        <v>0</v>
      </c>
      <c r="D151" s="23">
        <v>0</v>
      </c>
      <c r="E151" s="23">
        <v>0</v>
      </c>
      <c r="F151" s="23">
        <v>532830</v>
      </c>
      <c r="G151" s="23">
        <v>310291</v>
      </c>
      <c r="H151" s="23">
        <v>0</v>
      </c>
      <c r="I151" s="23">
        <v>0</v>
      </c>
      <c r="J151" s="23">
        <v>222539</v>
      </c>
      <c r="K151" s="23">
        <v>0</v>
      </c>
      <c r="L151" s="23"/>
      <c r="M151" s="24">
        <f t="shared" si="4"/>
        <v>532830</v>
      </c>
    </row>
    <row r="152" spans="1:13" ht="51">
      <c r="A152" s="22" t="s">
        <v>245</v>
      </c>
      <c r="B152" s="27" t="s">
        <v>940</v>
      </c>
      <c r="C152" s="23">
        <v>0</v>
      </c>
      <c r="D152" s="23">
        <v>0</v>
      </c>
      <c r="E152" s="23">
        <v>0</v>
      </c>
      <c r="F152" s="23">
        <v>6323994</v>
      </c>
      <c r="G152" s="23">
        <v>745274</v>
      </c>
      <c r="H152" s="23">
        <v>0</v>
      </c>
      <c r="I152" s="23">
        <v>0</v>
      </c>
      <c r="J152" s="23">
        <v>5578720</v>
      </c>
      <c r="K152" s="23"/>
      <c r="L152" s="23"/>
      <c r="M152" s="24">
        <f t="shared" si="4"/>
        <v>6323994</v>
      </c>
    </row>
    <row r="153" spans="1:13" ht="25.5">
      <c r="A153" s="20" t="s">
        <v>941</v>
      </c>
      <c r="B153" s="4" t="s">
        <v>938</v>
      </c>
      <c r="C153" s="21">
        <f>SUM(C154+C156)</f>
        <v>4195743.4</v>
      </c>
      <c r="D153" s="21">
        <v>7980</v>
      </c>
      <c r="E153" s="21">
        <v>0</v>
      </c>
      <c r="F153" s="21">
        <v>448400</v>
      </c>
      <c r="G153" s="21">
        <v>448400</v>
      </c>
      <c r="H153" s="21">
        <v>0</v>
      </c>
      <c r="I153" s="21">
        <v>0</v>
      </c>
      <c r="J153" s="21">
        <v>0</v>
      </c>
      <c r="K153" s="21">
        <v>0</v>
      </c>
      <c r="L153" s="21"/>
      <c r="M153" s="21">
        <f t="shared" si="4"/>
        <v>4644143.4</v>
      </c>
    </row>
    <row r="154" spans="1:13" ht="25.5">
      <c r="A154" s="22" t="s">
        <v>255</v>
      </c>
      <c r="B154" s="1" t="s">
        <v>335</v>
      </c>
      <c r="C154" s="23">
        <f>SUM(C155)</f>
        <v>167820</v>
      </c>
      <c r="D154" s="23">
        <v>0</v>
      </c>
      <c r="E154" s="23">
        <v>0</v>
      </c>
      <c r="F154" s="23">
        <v>0</v>
      </c>
      <c r="G154" s="23">
        <v>0</v>
      </c>
      <c r="H154" s="23">
        <v>0</v>
      </c>
      <c r="I154" s="23">
        <v>0</v>
      </c>
      <c r="J154" s="23">
        <v>0</v>
      </c>
      <c r="K154" s="23">
        <v>0</v>
      </c>
      <c r="L154" s="23"/>
      <c r="M154" s="24">
        <f t="shared" si="4"/>
        <v>167820</v>
      </c>
    </row>
    <row r="155" spans="1:13" ht="25.5">
      <c r="A155" s="22"/>
      <c r="B155" s="26" t="s">
        <v>181</v>
      </c>
      <c r="C155" s="23">
        <f>SUM(Прил3!C253)</f>
        <v>167820</v>
      </c>
      <c r="D155" s="23">
        <v>0</v>
      </c>
      <c r="E155" s="23">
        <v>0</v>
      </c>
      <c r="F155" s="23">
        <v>0</v>
      </c>
      <c r="G155" s="23">
        <v>0</v>
      </c>
      <c r="H155" s="23">
        <v>0</v>
      </c>
      <c r="I155" s="23">
        <v>0</v>
      </c>
      <c r="J155" s="23">
        <v>0</v>
      </c>
      <c r="K155" s="23">
        <v>0</v>
      </c>
      <c r="L155" s="23"/>
      <c r="M155" s="24">
        <f>SUM(C155+F155)</f>
        <v>167820</v>
      </c>
    </row>
    <row r="156" spans="1:13" ht="25.5">
      <c r="A156" s="22" t="s">
        <v>275</v>
      </c>
      <c r="B156" s="1" t="s">
        <v>454</v>
      </c>
      <c r="C156" s="23">
        <f>SUM(C157:C167)</f>
        <v>4027923.4</v>
      </c>
      <c r="D156" s="23">
        <v>7980</v>
      </c>
      <c r="E156" s="23">
        <v>0</v>
      </c>
      <c r="F156" s="23">
        <v>448400</v>
      </c>
      <c r="G156" s="23">
        <v>448400</v>
      </c>
      <c r="H156" s="23">
        <v>0</v>
      </c>
      <c r="I156" s="23">
        <v>0</v>
      </c>
      <c r="J156" s="23">
        <v>0</v>
      </c>
      <c r="K156" s="23">
        <v>0</v>
      </c>
      <c r="L156" s="23"/>
      <c r="M156" s="24">
        <f>C156+F156</f>
        <v>4476323.4</v>
      </c>
    </row>
    <row r="157" spans="1:13" ht="38.25">
      <c r="A157" s="44"/>
      <c r="B157" s="28" t="s">
        <v>657</v>
      </c>
      <c r="C157" s="23">
        <f>SUM(Прил3!C19)</f>
        <v>660</v>
      </c>
      <c r="D157" s="23">
        <v>0</v>
      </c>
      <c r="E157" s="23">
        <v>0</v>
      </c>
      <c r="F157" s="23">
        <v>0</v>
      </c>
      <c r="G157" s="23">
        <v>0</v>
      </c>
      <c r="H157" s="23">
        <v>0</v>
      </c>
      <c r="I157" s="23">
        <v>0</v>
      </c>
      <c r="J157" s="23">
        <v>0</v>
      </c>
      <c r="K157" s="23">
        <v>0</v>
      </c>
      <c r="L157" s="23"/>
      <c r="M157" s="24">
        <f aca="true" t="shared" si="6" ref="M157:M204">C157+F157</f>
        <v>660</v>
      </c>
    </row>
    <row r="158" spans="1:13" ht="51">
      <c r="A158" s="22"/>
      <c r="B158" s="26" t="s">
        <v>700</v>
      </c>
      <c r="C158" s="23">
        <f>SUM(Прил3!C273)</f>
        <v>1833880</v>
      </c>
      <c r="D158" s="23">
        <v>0</v>
      </c>
      <c r="E158" s="23">
        <v>0</v>
      </c>
      <c r="F158" s="23">
        <v>0</v>
      </c>
      <c r="G158" s="23">
        <v>0</v>
      </c>
      <c r="H158" s="23">
        <v>0</v>
      </c>
      <c r="I158" s="23">
        <v>0</v>
      </c>
      <c r="J158" s="23">
        <v>0</v>
      </c>
      <c r="K158" s="23">
        <v>0</v>
      </c>
      <c r="L158" s="23"/>
      <c r="M158" s="24">
        <f t="shared" si="6"/>
        <v>1833880</v>
      </c>
    </row>
    <row r="159" spans="1:13" ht="38.25">
      <c r="A159" s="22"/>
      <c r="B159" s="26" t="s">
        <v>7</v>
      </c>
      <c r="C159" s="23">
        <f>SUM(Прил3!C56)</f>
        <v>239920</v>
      </c>
      <c r="D159" s="23">
        <v>0</v>
      </c>
      <c r="E159" s="23">
        <v>0</v>
      </c>
      <c r="F159" s="23">
        <v>0</v>
      </c>
      <c r="G159" s="23">
        <v>0</v>
      </c>
      <c r="H159" s="23">
        <v>0</v>
      </c>
      <c r="I159" s="23">
        <v>0</v>
      </c>
      <c r="J159" s="23">
        <v>0</v>
      </c>
      <c r="K159" s="23">
        <v>0</v>
      </c>
      <c r="L159" s="23"/>
      <c r="M159" s="24">
        <f t="shared" si="6"/>
        <v>239920</v>
      </c>
    </row>
    <row r="160" spans="1:13" ht="25.5">
      <c r="A160" s="22"/>
      <c r="B160" s="26" t="s">
        <v>577</v>
      </c>
      <c r="C160" s="23">
        <f>SUM(Прил3!C321)</f>
        <v>52980</v>
      </c>
      <c r="D160" s="23">
        <f>SUM(Прил3!D321)</f>
        <v>0</v>
      </c>
      <c r="E160" s="23">
        <f>SUM(Прил3!E321)</f>
        <v>0</v>
      </c>
      <c r="F160" s="23">
        <f>SUM(Прил3!F321)</f>
        <v>0</v>
      </c>
      <c r="G160" s="23">
        <f>SUM(Прил3!G321)</f>
        <v>0</v>
      </c>
      <c r="H160" s="23">
        <f>SUM(Прил3!H321)</f>
        <v>0</v>
      </c>
      <c r="I160" s="23">
        <f>SUM(Прил3!I321)</f>
        <v>0</v>
      </c>
      <c r="J160" s="23">
        <f>SUM(Прил3!J321)</f>
        <v>0</v>
      </c>
      <c r="K160" s="23">
        <f>SUM(Прил3!K321)</f>
        <v>0</v>
      </c>
      <c r="L160" s="23"/>
      <c r="M160" s="24">
        <f t="shared" si="6"/>
        <v>52980</v>
      </c>
    </row>
    <row r="161" spans="1:13" ht="38.25">
      <c r="A161" s="22"/>
      <c r="B161" s="26" t="s">
        <v>126</v>
      </c>
      <c r="C161" s="23">
        <f>SUM(Прил3!C302)</f>
        <v>287178</v>
      </c>
      <c r="D161" s="23">
        <f>SUM(Прил3!D302)</f>
        <v>0</v>
      </c>
      <c r="E161" s="23">
        <f>SUM(Прил3!E302)</f>
        <v>0</v>
      </c>
      <c r="F161" s="23">
        <f>SUM(Прил3!F302)</f>
        <v>0</v>
      </c>
      <c r="G161" s="23">
        <f>SUM(Прил3!G302)</f>
        <v>0</v>
      </c>
      <c r="H161" s="23">
        <f>SUM(Прил3!H302)</f>
        <v>0</v>
      </c>
      <c r="I161" s="23">
        <f>SUM(Прил3!I302)</f>
        <v>0</v>
      </c>
      <c r="J161" s="23">
        <f>SUM(Прил3!J302)</f>
        <v>0</v>
      </c>
      <c r="K161" s="23">
        <f>SUM(Прил3!K302)</f>
        <v>0</v>
      </c>
      <c r="L161" s="23"/>
      <c r="M161" s="24">
        <f t="shared" si="6"/>
        <v>287178</v>
      </c>
    </row>
    <row r="162" spans="1:13" ht="25.5">
      <c r="A162" s="22"/>
      <c r="B162" s="26" t="s">
        <v>646</v>
      </c>
      <c r="C162" s="23">
        <f>SUM(Прил3!C303)</f>
        <v>126327</v>
      </c>
      <c r="D162" s="23">
        <f>SUM(Прил3!D303)</f>
        <v>0</v>
      </c>
      <c r="E162" s="23">
        <f>SUM(Прил3!E303)</f>
        <v>0</v>
      </c>
      <c r="F162" s="23">
        <f>SUM(Прил3!F303)</f>
        <v>0</v>
      </c>
      <c r="G162" s="23">
        <f>SUM(Прил3!G303)</f>
        <v>0</v>
      </c>
      <c r="H162" s="23">
        <f>SUM(Прил3!H303)</f>
        <v>0</v>
      </c>
      <c r="I162" s="23">
        <f>SUM(Прил3!I303)</f>
        <v>0</v>
      </c>
      <c r="J162" s="23">
        <f>SUM(Прил3!J303)</f>
        <v>0</v>
      </c>
      <c r="K162" s="23">
        <f>SUM(Прил3!K303)</f>
        <v>0</v>
      </c>
      <c r="L162" s="23"/>
      <c r="M162" s="24">
        <f t="shared" si="6"/>
        <v>126327</v>
      </c>
    </row>
    <row r="163" spans="1:13" ht="76.5">
      <c r="A163" s="22"/>
      <c r="B163" s="27" t="s">
        <v>483</v>
      </c>
      <c r="C163" s="23">
        <f>SUM(Прил3!C320)</f>
        <v>1313500</v>
      </c>
      <c r="D163" s="23">
        <v>0</v>
      </c>
      <c r="E163" s="23">
        <v>0</v>
      </c>
      <c r="F163" s="23">
        <v>0</v>
      </c>
      <c r="G163" s="23">
        <v>0</v>
      </c>
      <c r="H163" s="23">
        <v>0</v>
      </c>
      <c r="I163" s="23">
        <v>0</v>
      </c>
      <c r="J163" s="23">
        <v>0</v>
      </c>
      <c r="K163" s="23">
        <v>0</v>
      </c>
      <c r="L163" s="23"/>
      <c r="M163" s="24">
        <f t="shared" si="6"/>
        <v>1313500</v>
      </c>
    </row>
    <row r="164" spans="1:13" ht="25.5">
      <c r="A164" s="22"/>
      <c r="B164" s="27" t="s">
        <v>691</v>
      </c>
      <c r="C164" s="23">
        <v>0</v>
      </c>
      <c r="D164" s="23">
        <v>0</v>
      </c>
      <c r="E164" s="23">
        <v>0</v>
      </c>
      <c r="F164" s="23">
        <v>448400</v>
      </c>
      <c r="G164" s="23">
        <v>448400</v>
      </c>
      <c r="H164" s="23">
        <v>0</v>
      </c>
      <c r="I164" s="23">
        <v>0</v>
      </c>
      <c r="J164" s="23">
        <v>0</v>
      </c>
      <c r="K164" s="23">
        <v>0</v>
      </c>
      <c r="L164" s="23"/>
      <c r="M164" s="24">
        <f t="shared" si="6"/>
        <v>448400</v>
      </c>
    </row>
    <row r="165" spans="1:13" ht="38.25">
      <c r="A165" s="22"/>
      <c r="B165" s="29" t="s">
        <v>579</v>
      </c>
      <c r="C165" s="23">
        <f>SUM(Прил3!C18)</f>
        <v>5560</v>
      </c>
      <c r="D165" s="23">
        <v>0</v>
      </c>
      <c r="E165" s="23">
        <v>0</v>
      </c>
      <c r="F165" s="23">
        <v>0</v>
      </c>
      <c r="G165" s="23">
        <v>0</v>
      </c>
      <c r="H165" s="23">
        <v>0</v>
      </c>
      <c r="I165" s="23">
        <v>0</v>
      </c>
      <c r="J165" s="23">
        <v>0</v>
      </c>
      <c r="K165" s="23">
        <v>0</v>
      </c>
      <c r="L165" s="23"/>
      <c r="M165" s="24">
        <f t="shared" si="6"/>
        <v>5560</v>
      </c>
    </row>
    <row r="166" spans="1:13" ht="63.75">
      <c r="A166" s="22"/>
      <c r="B166" s="2" t="s">
        <v>936</v>
      </c>
      <c r="C166" s="23">
        <f>SUM(Прил3!C99)</f>
        <v>61400</v>
      </c>
      <c r="D166" s="23"/>
      <c r="E166" s="23"/>
      <c r="F166" s="23"/>
      <c r="G166" s="23"/>
      <c r="H166" s="23"/>
      <c r="I166" s="23"/>
      <c r="J166" s="23"/>
      <c r="K166" s="23"/>
      <c r="L166" s="23"/>
      <c r="M166" s="24">
        <f>SUM(C166)</f>
        <v>61400</v>
      </c>
    </row>
    <row r="167" spans="1:13" ht="63.75">
      <c r="A167" s="22"/>
      <c r="B167" s="2" t="s">
        <v>34</v>
      </c>
      <c r="C167" s="23">
        <f>SUM(Прил3!C40+Прил3!C57+Прил3!C70+Прил3!C100+Прил3!C211+Прил3!C240+Прил3!C248+Прил3!C255+Прил3!C274+Прил3!C284+Прил3!C293+Прил3!C304+Прил3!C20)</f>
        <v>106518.39999999998</v>
      </c>
      <c r="D167" s="23"/>
      <c r="E167" s="23"/>
      <c r="F167" s="23"/>
      <c r="G167" s="23"/>
      <c r="H167" s="23"/>
      <c r="I167" s="23"/>
      <c r="J167" s="23"/>
      <c r="K167" s="23"/>
      <c r="L167" s="23"/>
      <c r="M167" s="24">
        <f>SUM(C167)</f>
        <v>106518.39999999998</v>
      </c>
    </row>
    <row r="168" spans="1:13" ht="25.5">
      <c r="A168" s="20" t="s">
        <v>484</v>
      </c>
      <c r="B168" s="30" t="s">
        <v>485</v>
      </c>
      <c r="C168" s="21">
        <v>0</v>
      </c>
      <c r="D168" s="21">
        <v>0</v>
      </c>
      <c r="E168" s="21">
        <v>0</v>
      </c>
      <c r="F168" s="21">
        <f>SUM(F169)</f>
        <v>0</v>
      </c>
      <c r="G168" s="21">
        <v>0</v>
      </c>
      <c r="H168" s="21">
        <v>0</v>
      </c>
      <c r="I168" s="21">
        <v>0</v>
      </c>
      <c r="J168" s="21">
        <f>SUM(J169)</f>
        <v>0</v>
      </c>
      <c r="K168" s="21">
        <v>0</v>
      </c>
      <c r="L168" s="21"/>
      <c r="M168" s="21">
        <f t="shared" si="6"/>
        <v>0</v>
      </c>
    </row>
    <row r="169" spans="1:13" ht="15" customHeight="1">
      <c r="A169" s="22" t="s">
        <v>260</v>
      </c>
      <c r="B169" s="25" t="s">
        <v>183</v>
      </c>
      <c r="C169" s="23">
        <v>0</v>
      </c>
      <c r="D169" s="23">
        <v>0</v>
      </c>
      <c r="E169" s="23">
        <v>0</v>
      </c>
      <c r="F169" s="23">
        <f>SUM(Прил3!F294)</f>
        <v>0</v>
      </c>
      <c r="G169" s="23">
        <v>0</v>
      </c>
      <c r="H169" s="23">
        <v>0</v>
      </c>
      <c r="I169" s="23">
        <v>0</v>
      </c>
      <c r="J169" s="23">
        <f>SUM(Прил3!J294)</f>
        <v>0</v>
      </c>
      <c r="K169" s="23">
        <v>0</v>
      </c>
      <c r="L169" s="23"/>
      <c r="M169" s="24">
        <f t="shared" si="6"/>
        <v>0</v>
      </c>
    </row>
    <row r="170" spans="1:13" ht="31.5" customHeight="1">
      <c r="A170" s="20" t="s">
        <v>486</v>
      </c>
      <c r="B170" s="30" t="s">
        <v>487</v>
      </c>
      <c r="C170" s="21">
        <f>SUM(C171+C172+C175)</f>
        <v>302340</v>
      </c>
      <c r="D170" s="21">
        <v>0</v>
      </c>
      <c r="E170" s="21">
        <v>0</v>
      </c>
      <c r="F170" s="21">
        <v>0</v>
      </c>
      <c r="G170" s="21">
        <v>0</v>
      </c>
      <c r="H170" s="21">
        <v>0</v>
      </c>
      <c r="I170" s="21">
        <v>0</v>
      </c>
      <c r="J170" s="21">
        <v>0</v>
      </c>
      <c r="K170" s="21">
        <v>0</v>
      </c>
      <c r="L170" s="21"/>
      <c r="M170" s="21">
        <f t="shared" si="6"/>
        <v>302340</v>
      </c>
    </row>
    <row r="171" spans="1:13" ht="38.25">
      <c r="A171" s="22" t="s">
        <v>256</v>
      </c>
      <c r="B171" s="26" t="s">
        <v>637</v>
      </c>
      <c r="C171" s="23">
        <f>SUM(Прил3!C256)</f>
        <v>38049</v>
      </c>
      <c r="D171" s="23">
        <v>0</v>
      </c>
      <c r="E171" s="23">
        <v>0</v>
      </c>
      <c r="F171" s="23">
        <v>0</v>
      </c>
      <c r="G171" s="23">
        <v>0</v>
      </c>
      <c r="H171" s="23">
        <v>0</v>
      </c>
      <c r="I171" s="23">
        <v>0</v>
      </c>
      <c r="J171" s="23">
        <v>0</v>
      </c>
      <c r="K171" s="23">
        <v>0</v>
      </c>
      <c r="L171" s="23"/>
      <c r="M171" s="24">
        <f t="shared" si="6"/>
        <v>38049</v>
      </c>
    </row>
    <row r="172" spans="1:13" ht="38.25">
      <c r="A172" s="22" t="s">
        <v>135</v>
      </c>
      <c r="B172" s="31" t="s">
        <v>585</v>
      </c>
      <c r="C172" s="23">
        <f>SUM(C173:C174)</f>
        <v>245231</v>
      </c>
      <c r="D172" s="23">
        <v>0</v>
      </c>
      <c r="E172" s="23">
        <v>0</v>
      </c>
      <c r="F172" s="23">
        <v>0</v>
      </c>
      <c r="G172" s="23">
        <v>0</v>
      </c>
      <c r="H172" s="23">
        <v>0</v>
      </c>
      <c r="I172" s="23">
        <v>0</v>
      </c>
      <c r="J172" s="23">
        <v>0</v>
      </c>
      <c r="K172" s="23">
        <v>0</v>
      </c>
      <c r="L172" s="23"/>
      <c r="M172" s="24">
        <f t="shared" si="6"/>
        <v>245231</v>
      </c>
    </row>
    <row r="173" spans="1:13" ht="38.25">
      <c r="A173" s="22"/>
      <c r="B173" s="27" t="s">
        <v>585</v>
      </c>
      <c r="C173" s="23">
        <f>SUM(Прил3!C323)</f>
        <v>245100</v>
      </c>
      <c r="D173" s="23">
        <v>0</v>
      </c>
      <c r="E173" s="23">
        <v>0</v>
      </c>
      <c r="F173" s="23">
        <v>0</v>
      </c>
      <c r="G173" s="23">
        <v>0</v>
      </c>
      <c r="H173" s="23">
        <v>0</v>
      </c>
      <c r="I173" s="23">
        <v>0</v>
      </c>
      <c r="J173" s="23">
        <v>0</v>
      </c>
      <c r="K173" s="23">
        <v>0</v>
      </c>
      <c r="L173" s="23"/>
      <c r="M173" s="24">
        <f t="shared" si="6"/>
        <v>245100</v>
      </c>
    </row>
    <row r="174" spans="1:13" ht="38.25">
      <c r="A174" s="22"/>
      <c r="B174" s="27" t="s">
        <v>576</v>
      </c>
      <c r="C174" s="23">
        <f>SUM(Прил3!C312)</f>
        <v>131</v>
      </c>
      <c r="D174" s="23">
        <v>0</v>
      </c>
      <c r="E174" s="23">
        <v>0</v>
      </c>
      <c r="F174" s="23">
        <v>0</v>
      </c>
      <c r="G174" s="23">
        <v>0</v>
      </c>
      <c r="H174" s="23">
        <v>0</v>
      </c>
      <c r="I174" s="23">
        <v>0</v>
      </c>
      <c r="J174" s="23">
        <v>0</v>
      </c>
      <c r="K174" s="23">
        <v>0</v>
      </c>
      <c r="L174" s="23"/>
      <c r="M174" s="24">
        <f t="shared" si="6"/>
        <v>131</v>
      </c>
    </row>
    <row r="175" spans="1:13" ht="25.5">
      <c r="A175" s="22" t="s">
        <v>287</v>
      </c>
      <c r="B175" s="31" t="s">
        <v>488</v>
      </c>
      <c r="C175" s="23">
        <f>SUM(Прил3!C313+Прил3!C101+Прил3!C41)</f>
        <v>19060</v>
      </c>
      <c r="D175" s="23">
        <v>0</v>
      </c>
      <c r="E175" s="23">
        <v>0</v>
      </c>
      <c r="F175" s="23">
        <v>0</v>
      </c>
      <c r="G175" s="23">
        <v>0</v>
      </c>
      <c r="H175" s="23">
        <v>0</v>
      </c>
      <c r="I175" s="23">
        <v>0</v>
      </c>
      <c r="J175" s="23">
        <v>0</v>
      </c>
      <c r="K175" s="23">
        <v>0</v>
      </c>
      <c r="L175" s="23"/>
      <c r="M175" s="24">
        <f t="shared" si="6"/>
        <v>19060</v>
      </c>
    </row>
    <row r="176" spans="1:13" ht="12.75">
      <c r="A176" s="20" t="s">
        <v>489</v>
      </c>
      <c r="B176" s="4" t="s">
        <v>948</v>
      </c>
      <c r="C176" s="21">
        <v>0</v>
      </c>
      <c r="D176" s="21">
        <v>0</v>
      </c>
      <c r="E176" s="21">
        <v>0</v>
      </c>
      <c r="F176" s="21">
        <f>SUM(F177:F178)</f>
        <v>46550735</v>
      </c>
      <c r="G176" s="21">
        <f>SUM(G177:G178)</f>
        <v>39350307</v>
      </c>
      <c r="H176" s="21">
        <v>0</v>
      </c>
      <c r="I176" s="21">
        <v>0</v>
      </c>
      <c r="J176" s="21">
        <f>SUM(J177:J178)</f>
        <v>7200428</v>
      </c>
      <c r="K176" s="21">
        <v>0</v>
      </c>
      <c r="L176" s="21"/>
      <c r="M176" s="21">
        <f t="shared" si="6"/>
        <v>46550735</v>
      </c>
    </row>
    <row r="177" spans="1:13" ht="25.5">
      <c r="A177" s="22" t="s">
        <v>288</v>
      </c>
      <c r="B177" s="1" t="s">
        <v>927</v>
      </c>
      <c r="C177" s="23">
        <v>0</v>
      </c>
      <c r="D177" s="23">
        <v>0</v>
      </c>
      <c r="E177" s="23">
        <v>0</v>
      </c>
      <c r="F177" s="23">
        <v>560338</v>
      </c>
      <c r="G177" s="23">
        <v>110196</v>
      </c>
      <c r="H177" s="23">
        <v>0</v>
      </c>
      <c r="I177" s="23">
        <v>0</v>
      </c>
      <c r="J177" s="23">
        <v>450142</v>
      </c>
      <c r="K177" s="23">
        <v>0</v>
      </c>
      <c r="L177" s="23"/>
      <c r="M177" s="24">
        <f t="shared" si="6"/>
        <v>560338</v>
      </c>
    </row>
    <row r="178" spans="1:13" ht="51">
      <c r="A178" s="22" t="s">
        <v>276</v>
      </c>
      <c r="B178" s="1" t="s">
        <v>189</v>
      </c>
      <c r="C178" s="23">
        <v>0</v>
      </c>
      <c r="D178" s="23">
        <v>0</v>
      </c>
      <c r="E178" s="23">
        <v>0</v>
      </c>
      <c r="F178" s="23">
        <f>SUM(F179)</f>
        <v>45990397</v>
      </c>
      <c r="G178" s="23">
        <f>SUM(G179)</f>
        <v>39240111</v>
      </c>
      <c r="H178" s="23">
        <v>0</v>
      </c>
      <c r="I178" s="23">
        <v>0</v>
      </c>
      <c r="J178" s="23">
        <f>Прил3!J44+Прил3!J72+Прил3!J213+Прил3!J276+Прил3!J296+Прил3!J307</f>
        <v>6750286</v>
      </c>
      <c r="K178" s="23">
        <v>0</v>
      </c>
      <c r="L178" s="23"/>
      <c r="M178" s="24">
        <f t="shared" si="6"/>
        <v>45990397</v>
      </c>
    </row>
    <row r="179" spans="1:13" ht="18.75" customHeight="1">
      <c r="A179" s="22"/>
      <c r="B179" s="26" t="s">
        <v>803</v>
      </c>
      <c r="C179" s="23">
        <v>0</v>
      </c>
      <c r="D179" s="23">
        <v>0</v>
      </c>
      <c r="E179" s="23">
        <v>0</v>
      </c>
      <c r="F179" s="23">
        <f>SUM(G179+J179)</f>
        <v>45990397</v>
      </c>
      <c r="G179" s="23">
        <f>SUM(Прил3!G22+Прил3!G44+Прил3!G59+Прил3!G72+Прил3!G103+Прил3!G213+Прил3!G226+Прил3!G242+Прил3!G258+Прил3!G276+Прил3!G296+Прил3!G307+Прил3!G315)</f>
        <v>39240111</v>
      </c>
      <c r="H179" s="23">
        <v>0</v>
      </c>
      <c r="I179" s="23">
        <v>0</v>
      </c>
      <c r="J179" s="23">
        <f>Прил3!J44+Прил3!J72+Прил3!J213+Прил3!J276+Прил3!J296+Прил3!J307</f>
        <v>6750286</v>
      </c>
      <c r="K179" s="23">
        <v>0</v>
      </c>
      <c r="L179" s="23"/>
      <c r="M179" s="24">
        <f t="shared" si="6"/>
        <v>45990397</v>
      </c>
    </row>
    <row r="180" spans="1:13" ht="12.75">
      <c r="A180" s="20" t="s">
        <v>490</v>
      </c>
      <c r="B180" s="4" t="s">
        <v>851</v>
      </c>
      <c r="C180" s="21">
        <f>SUM(C181:C187)</f>
        <v>29487002.35</v>
      </c>
      <c r="D180" s="21">
        <v>0</v>
      </c>
      <c r="E180" s="21">
        <f>SUM(E184)</f>
        <v>535000</v>
      </c>
      <c r="F180" s="21">
        <f>SUM(F187+F188+F189)</f>
        <v>59522000</v>
      </c>
      <c r="G180" s="21">
        <v>0</v>
      </c>
      <c r="H180" s="21">
        <v>0</v>
      </c>
      <c r="I180" s="21">
        <v>0</v>
      </c>
      <c r="J180" s="21">
        <f>SUM(J187+J188+J189)</f>
        <v>59522000</v>
      </c>
      <c r="K180" s="21">
        <f>SUM(K187+K188+K189)</f>
        <v>59522000</v>
      </c>
      <c r="L180" s="21">
        <f>SUM(L188+L189)</f>
        <v>59180000</v>
      </c>
      <c r="M180" s="21">
        <f t="shared" si="6"/>
        <v>89009002.35</v>
      </c>
    </row>
    <row r="181" spans="1:13" ht="12.75">
      <c r="A181" s="22" t="s">
        <v>136</v>
      </c>
      <c r="B181" s="7" t="s">
        <v>852</v>
      </c>
      <c r="C181" s="23">
        <f>SUM(Прил3!C326)</f>
        <v>731382.3499999996</v>
      </c>
      <c r="D181" s="23">
        <f>SUM(Прил3!D326)</f>
        <v>0</v>
      </c>
      <c r="E181" s="23">
        <f>SUM(Прил3!E326)</f>
        <v>0</v>
      </c>
      <c r="F181" s="23">
        <f>SUM(Прил3!F326)</f>
        <v>0</v>
      </c>
      <c r="G181" s="23">
        <f>SUM(Прил3!G326)</f>
        <v>0</v>
      </c>
      <c r="H181" s="23">
        <f>SUM(Прил3!H326)</f>
        <v>0</v>
      </c>
      <c r="I181" s="23">
        <f>SUM(Прил3!I326)</f>
        <v>0</v>
      </c>
      <c r="J181" s="23">
        <f>SUM(Прил3!J326)</f>
        <v>0</v>
      </c>
      <c r="K181" s="23">
        <f>SUM(Прил3!K326)</f>
        <v>0</v>
      </c>
      <c r="L181" s="23"/>
      <c r="M181" s="24">
        <f t="shared" si="6"/>
        <v>731382.3499999996</v>
      </c>
    </row>
    <row r="182" spans="1:13" ht="50.25" customHeight="1">
      <c r="A182" s="43">
        <v>250203</v>
      </c>
      <c r="B182" s="2" t="s">
        <v>798</v>
      </c>
      <c r="C182" s="23">
        <f>SUM(Прил3!C23)</f>
        <v>2364700</v>
      </c>
      <c r="D182" s="23">
        <f>SUM(Прил3!D23)</f>
        <v>0</v>
      </c>
      <c r="E182" s="23">
        <f>SUM(Прил3!E23)</f>
        <v>0</v>
      </c>
      <c r="F182" s="23">
        <f>SUM(Прил3!F23)</f>
        <v>0</v>
      </c>
      <c r="G182" s="23">
        <f>SUM(Прил3!G23)</f>
        <v>0</v>
      </c>
      <c r="H182" s="23">
        <f>SUM(Прил3!H23)</f>
        <v>0</v>
      </c>
      <c r="I182" s="23">
        <f>SUM(Прил3!I23)</f>
        <v>0</v>
      </c>
      <c r="J182" s="23">
        <f>SUM(Прил3!J23)</f>
        <v>0</v>
      </c>
      <c r="K182" s="23">
        <f>SUM(Прил3!K23)</f>
        <v>0</v>
      </c>
      <c r="L182" s="23"/>
      <c r="M182" s="24">
        <f>SUM(C182)</f>
        <v>2364700</v>
      </c>
    </row>
    <row r="183" spans="1:13" ht="12.75">
      <c r="A183" s="22" t="s">
        <v>277</v>
      </c>
      <c r="B183" s="1" t="s">
        <v>591</v>
      </c>
      <c r="C183" s="23">
        <f>SUM(Прил3!C24+Прил3!C214+Прил3!C324)</f>
        <v>93020</v>
      </c>
      <c r="D183" s="23">
        <v>0</v>
      </c>
      <c r="E183" s="23">
        <v>0</v>
      </c>
      <c r="F183" s="23">
        <v>0</v>
      </c>
      <c r="G183" s="23">
        <v>0</v>
      </c>
      <c r="H183" s="23">
        <v>0</v>
      </c>
      <c r="I183" s="23">
        <v>0</v>
      </c>
      <c r="J183" s="23">
        <v>0</v>
      </c>
      <c r="K183" s="23">
        <v>0</v>
      </c>
      <c r="L183" s="23"/>
      <c r="M183" s="24">
        <f t="shared" si="6"/>
        <v>93020</v>
      </c>
    </row>
    <row r="184" spans="1:13" ht="25.5">
      <c r="A184" s="22" t="s">
        <v>277</v>
      </c>
      <c r="B184" s="1" t="s">
        <v>760</v>
      </c>
      <c r="C184" s="23">
        <f>SUM(Прил3!C46+Прил3!C60+Прил3!C74+Прил3!C104+Прил3!C243+Прил3!C259)</f>
        <v>535000</v>
      </c>
      <c r="D184" s="23">
        <f>SUM(Прил3!D46+Прил3!D60+Прил3!D74+Прил3!D104+Прил3!D243+Прил3!D259)</f>
        <v>0</v>
      </c>
      <c r="E184" s="23">
        <f>SUM(Прил3!E46+Прил3!E60+Прил3!E74+Прил3!E104+Прил3!E243+Прил3!E259)</f>
        <v>535000</v>
      </c>
      <c r="F184" s="23">
        <f>SUM(Прил3!F46+Прил3!F60+Прил3!F74+Прил3!F104+Прил3!F243+Прил3!F259)</f>
        <v>0</v>
      </c>
      <c r="G184" s="23">
        <f>SUM(Прил3!G46+Прил3!G60+Прил3!G74+Прил3!G104+Прил3!G243+Прил3!G259)</f>
        <v>0</v>
      </c>
      <c r="H184" s="23">
        <f>SUM(Прил3!H46+Прил3!H60+Прил3!H74+Прил3!H104+Прил3!H243+Прил3!H259)</f>
        <v>0</v>
      </c>
      <c r="I184" s="23">
        <f>SUM(Прил3!I46+Прил3!I60+Прил3!I74+Прил3!I104+Прил3!I243+Прил3!I259)</f>
        <v>0</v>
      </c>
      <c r="J184" s="23">
        <f>SUM(Прил3!J46+Прил3!J60+Прил3!J74+Прил3!J104+Прил3!J243+Прил3!J259)</f>
        <v>0</v>
      </c>
      <c r="K184" s="23">
        <f>SUM(Прил3!K46+Прил3!K60+Прил3!K74+Прил3!K104+Прил3!K243+Прил3!K259)</f>
        <v>0</v>
      </c>
      <c r="L184" s="23"/>
      <c r="M184" s="24">
        <f>SUM(C184)</f>
        <v>535000</v>
      </c>
    </row>
    <row r="185" spans="1:13" ht="102">
      <c r="A185" s="101">
        <v>250323</v>
      </c>
      <c r="B185" s="2" t="s">
        <v>180</v>
      </c>
      <c r="C185" s="23">
        <f>SUM(Прил3!C277)</f>
        <v>25262900</v>
      </c>
      <c r="D185" s="23">
        <f>SUM(Прил3!D277)</f>
        <v>0</v>
      </c>
      <c r="E185" s="23">
        <f>SUM(Прил3!E277)</f>
        <v>0</v>
      </c>
      <c r="F185" s="23">
        <f>SUM(Прил3!F277)</f>
        <v>0</v>
      </c>
      <c r="G185" s="23">
        <f>SUM(Прил3!G277)</f>
        <v>0</v>
      </c>
      <c r="H185" s="23">
        <f>SUM(Прил3!H277)</f>
        <v>0</v>
      </c>
      <c r="I185" s="23">
        <f>SUM(Прил3!I277)</f>
        <v>0</v>
      </c>
      <c r="J185" s="23">
        <f>SUM(Прил3!J277)</f>
        <v>0</v>
      </c>
      <c r="K185" s="23">
        <f>SUM(Прил3!K277)</f>
        <v>0</v>
      </c>
      <c r="L185" s="23"/>
      <c r="M185" s="24">
        <f>SUM(C185)</f>
        <v>25262900</v>
      </c>
    </row>
    <row r="186" spans="1:13" ht="140.25">
      <c r="A186" s="101">
        <v>250337</v>
      </c>
      <c r="B186" s="2" t="s">
        <v>117</v>
      </c>
      <c r="C186" s="23">
        <f>SUM(Прил3!C45)</f>
        <v>500000</v>
      </c>
      <c r="D186" s="23">
        <f>SUM(Прил3!D45)</f>
        <v>0</v>
      </c>
      <c r="E186" s="23">
        <f>SUM(Прил3!E45)</f>
        <v>0</v>
      </c>
      <c r="F186" s="23">
        <f>SUM(Прил3!F45)</f>
        <v>0</v>
      </c>
      <c r="G186" s="23">
        <f>SUM(Прил3!G45)</f>
        <v>0</v>
      </c>
      <c r="H186" s="23">
        <f>SUM(Прил3!H45)</f>
        <v>0</v>
      </c>
      <c r="I186" s="23">
        <f>SUM(Прил3!I45)</f>
        <v>0</v>
      </c>
      <c r="J186" s="23">
        <f>SUM(Прил3!J45)</f>
        <v>0</v>
      </c>
      <c r="K186" s="23">
        <f>SUM(Прил3!K45)</f>
        <v>0</v>
      </c>
      <c r="L186" s="23"/>
      <c r="M186" s="24">
        <f>SUM(C186)</f>
        <v>500000</v>
      </c>
    </row>
    <row r="187" spans="1:13" ht="63.75">
      <c r="A187" s="22" t="s">
        <v>261</v>
      </c>
      <c r="B187" s="2" t="s">
        <v>127</v>
      </c>
      <c r="C187" s="23">
        <v>0</v>
      </c>
      <c r="D187" s="23">
        <v>0</v>
      </c>
      <c r="E187" s="23">
        <v>0</v>
      </c>
      <c r="F187" s="23">
        <v>342000</v>
      </c>
      <c r="G187" s="23">
        <v>0</v>
      </c>
      <c r="H187" s="23">
        <v>0</v>
      </c>
      <c r="I187" s="23">
        <v>0</v>
      </c>
      <c r="J187" s="23">
        <v>342000</v>
      </c>
      <c r="K187" s="23">
        <v>342000</v>
      </c>
      <c r="L187" s="23"/>
      <c r="M187" s="24">
        <f t="shared" si="6"/>
        <v>342000</v>
      </c>
    </row>
    <row r="188" spans="1:13" ht="140.25">
      <c r="A188" s="43">
        <v>250359</v>
      </c>
      <c r="B188" s="105" t="s">
        <v>35</v>
      </c>
      <c r="C188" s="23"/>
      <c r="D188" s="23"/>
      <c r="E188" s="23"/>
      <c r="F188" s="23">
        <f>SUM(Прил3!F73)</f>
        <v>8000000</v>
      </c>
      <c r="G188" s="23">
        <f>SUM(Прил3!G73)</f>
        <v>0</v>
      </c>
      <c r="H188" s="23">
        <f>SUM(Прил3!H73)</f>
        <v>0</v>
      </c>
      <c r="I188" s="23">
        <f>SUM(Прил3!I73)</f>
        <v>0</v>
      </c>
      <c r="J188" s="23">
        <f>SUM(Прил3!J73)</f>
        <v>8000000</v>
      </c>
      <c r="K188" s="23">
        <f>SUM(Прил3!K73)</f>
        <v>8000000</v>
      </c>
      <c r="L188" s="23">
        <f>SUM(Прил3!L73)</f>
        <v>8000000</v>
      </c>
      <c r="M188" s="24">
        <f>SUM(F188)</f>
        <v>8000000</v>
      </c>
    </row>
    <row r="189" spans="1:13" ht="102">
      <c r="A189" s="43">
        <v>250372</v>
      </c>
      <c r="B189" s="442" t="s">
        <v>895</v>
      </c>
      <c r="C189" s="23"/>
      <c r="D189" s="23"/>
      <c r="E189" s="23"/>
      <c r="F189" s="23">
        <f>SUM(Прил3!F286)</f>
        <v>51180000</v>
      </c>
      <c r="G189" s="23">
        <f>SUM(Прил3!G286)</f>
        <v>0</v>
      </c>
      <c r="H189" s="23">
        <f>SUM(Прил3!H286)</f>
        <v>0</v>
      </c>
      <c r="I189" s="23">
        <f>SUM(Прил3!I286)</f>
        <v>0</v>
      </c>
      <c r="J189" s="23">
        <f>SUM(Прил3!J286)</f>
        <v>51180000</v>
      </c>
      <c r="K189" s="23">
        <f>SUM(Прил3!K286)</f>
        <v>51180000</v>
      </c>
      <c r="L189" s="23">
        <f>SUM(Прил3!L286)</f>
        <v>51180000</v>
      </c>
      <c r="M189" s="24">
        <f>SUM(F189)</f>
        <v>51180000</v>
      </c>
    </row>
    <row r="190" spans="1:13" ht="12.75">
      <c r="A190" s="32"/>
      <c r="B190" s="4" t="s">
        <v>854</v>
      </c>
      <c r="C190" s="21">
        <f>SUM(C15+C19+C31+C50+C120+C122+C129+C133+C139+C141+C153+C168+C170+C176+C180)</f>
        <v>2214460471.3999996</v>
      </c>
      <c r="D190" s="21">
        <f aca="true" t="shared" si="7" ref="D190:K190">SUM(D15+D19+D31+D50+D120+D122+D129+D133+D139+D141+D153+D168+D170+D176+D180)</f>
        <v>974000986.28</v>
      </c>
      <c r="E190" s="21">
        <f t="shared" si="7"/>
        <v>80184925.22999999</v>
      </c>
      <c r="F190" s="21">
        <f t="shared" si="7"/>
        <v>382670146</v>
      </c>
      <c r="G190" s="21">
        <f t="shared" si="7"/>
        <v>89249602</v>
      </c>
      <c r="H190" s="21">
        <f t="shared" si="7"/>
        <v>9288229</v>
      </c>
      <c r="I190" s="21">
        <f t="shared" si="7"/>
        <v>1653483</v>
      </c>
      <c r="J190" s="21">
        <f t="shared" si="7"/>
        <v>293420544</v>
      </c>
      <c r="K190" s="21">
        <f t="shared" si="7"/>
        <v>269021426</v>
      </c>
      <c r="L190" s="21">
        <f>L15+L180</f>
        <v>59472100</v>
      </c>
      <c r="M190" s="21">
        <f t="shared" si="6"/>
        <v>2597130617.3999996</v>
      </c>
    </row>
    <row r="191" spans="1:13" s="35" customFormat="1" ht="12.75">
      <c r="A191" s="33"/>
      <c r="B191" s="8" t="s">
        <v>185</v>
      </c>
      <c r="C191" s="34">
        <f>SUM(C193+C194+C195+C196+C197+C198+C201+C203)</f>
        <v>41002656.6</v>
      </c>
      <c r="D191" s="34">
        <v>0</v>
      </c>
      <c r="E191" s="34">
        <v>0</v>
      </c>
      <c r="F191" s="34">
        <f>F192+F198+F202</f>
        <v>17237720</v>
      </c>
      <c r="G191" s="34">
        <f>SUM(G198)</f>
        <v>95832</v>
      </c>
      <c r="H191" s="34">
        <v>0</v>
      </c>
      <c r="I191" s="34">
        <v>0</v>
      </c>
      <c r="J191" s="34">
        <f>SUM(J192+J198+J202)</f>
        <v>17141888</v>
      </c>
      <c r="K191" s="34">
        <f>SUM(K192+K202)</f>
        <v>16100000</v>
      </c>
      <c r="L191" s="34">
        <f>SUM(L202)</f>
        <v>5600000</v>
      </c>
      <c r="M191" s="34">
        <f t="shared" si="6"/>
        <v>58240376.6</v>
      </c>
    </row>
    <row r="192" spans="1:13" s="35" customFormat="1" ht="51">
      <c r="A192" s="101">
        <v>250304</v>
      </c>
      <c r="B192" s="2" t="s">
        <v>565</v>
      </c>
      <c r="C192" s="34"/>
      <c r="D192" s="34"/>
      <c r="E192" s="34"/>
      <c r="F192" s="24">
        <f>SUM(Прил3!F285)</f>
        <v>10500000</v>
      </c>
      <c r="G192" s="24">
        <f>SUM(Прил3!G285)</f>
        <v>0</v>
      </c>
      <c r="H192" s="24">
        <f>SUM(Прил3!H285)</f>
        <v>0</v>
      </c>
      <c r="I192" s="24">
        <f>SUM(Прил3!I285)</f>
        <v>0</v>
      </c>
      <c r="J192" s="24">
        <f>SUM(Прил3!J285)</f>
        <v>10500000</v>
      </c>
      <c r="K192" s="24">
        <f>SUM(Прил3!K285)</f>
        <v>10500000</v>
      </c>
      <c r="L192" s="24">
        <f>SUM(Прил3!L285)</f>
        <v>0</v>
      </c>
      <c r="M192" s="24">
        <f>SUM(Прил3!M285)</f>
        <v>10500000</v>
      </c>
    </row>
    <row r="193" spans="1:13" ht="51">
      <c r="A193" s="22" t="s">
        <v>137</v>
      </c>
      <c r="B193" s="26" t="s">
        <v>587</v>
      </c>
      <c r="C193" s="23">
        <v>1019795</v>
      </c>
      <c r="D193" s="23">
        <v>0</v>
      </c>
      <c r="E193" s="23">
        <v>0</v>
      </c>
      <c r="F193" s="23">
        <v>0</v>
      </c>
      <c r="G193" s="23">
        <v>0</v>
      </c>
      <c r="H193" s="23">
        <v>0</v>
      </c>
      <c r="I193" s="23">
        <v>0</v>
      </c>
      <c r="J193" s="23">
        <v>0</v>
      </c>
      <c r="K193" s="23">
        <v>0</v>
      </c>
      <c r="L193" s="23"/>
      <c r="M193" s="24">
        <f t="shared" si="6"/>
        <v>1019795</v>
      </c>
    </row>
    <row r="194" spans="1:13" ht="51">
      <c r="A194" s="43">
        <v>250313</v>
      </c>
      <c r="B194" s="26" t="s">
        <v>789</v>
      </c>
      <c r="C194" s="23">
        <f>SUM(Прил3!C328)</f>
        <v>3350000</v>
      </c>
      <c r="D194" s="23"/>
      <c r="E194" s="23"/>
      <c r="F194" s="23"/>
      <c r="G194" s="23"/>
      <c r="H194" s="23"/>
      <c r="I194" s="23"/>
      <c r="J194" s="23"/>
      <c r="K194" s="23"/>
      <c r="L194" s="23"/>
      <c r="M194" s="24">
        <f t="shared" si="6"/>
        <v>3350000</v>
      </c>
    </row>
    <row r="195" spans="1:13" ht="12.75">
      <c r="A195" s="22" t="s">
        <v>138</v>
      </c>
      <c r="B195" s="27" t="s">
        <v>644</v>
      </c>
      <c r="C195" s="23">
        <f>SUM(Прил3!C329)</f>
        <v>16991404</v>
      </c>
      <c r="D195" s="23">
        <f>SUM(Прил3!D329)</f>
        <v>0</v>
      </c>
      <c r="E195" s="23">
        <f>SUM(Прил3!E329)</f>
        <v>0</v>
      </c>
      <c r="F195" s="23">
        <f>SUM(Прил3!F329)</f>
        <v>0</v>
      </c>
      <c r="G195" s="23">
        <f>SUM(Прил3!G329)</f>
        <v>0</v>
      </c>
      <c r="H195" s="23">
        <f>SUM(Прил3!H329)</f>
        <v>0</v>
      </c>
      <c r="I195" s="23">
        <f>SUM(Прил3!I329)</f>
        <v>0</v>
      </c>
      <c r="J195" s="23">
        <f>SUM(Прил3!J329)</f>
        <v>0</v>
      </c>
      <c r="K195" s="23">
        <f>SUM(Прил3!K329)</f>
        <v>0</v>
      </c>
      <c r="L195" s="23"/>
      <c r="M195" s="24">
        <f t="shared" si="6"/>
        <v>16991404</v>
      </c>
    </row>
    <row r="196" spans="1:13" ht="89.25">
      <c r="A196" s="22" t="s">
        <v>139</v>
      </c>
      <c r="B196" s="26" t="s">
        <v>617</v>
      </c>
      <c r="C196" s="23">
        <f>SUM(Прил3!C330)</f>
        <v>17442470</v>
      </c>
      <c r="D196" s="23">
        <f>SUM(Прил3!D330)</f>
        <v>0</v>
      </c>
      <c r="E196" s="23">
        <f>SUM(Прил3!E330)</f>
        <v>0</v>
      </c>
      <c r="F196" s="23">
        <f>SUM(Прил3!F330)</f>
        <v>0</v>
      </c>
      <c r="G196" s="23">
        <f>SUM(Прил3!G330)</f>
        <v>0</v>
      </c>
      <c r="H196" s="23">
        <f>SUM(Прил3!H330)</f>
        <v>0</v>
      </c>
      <c r="I196" s="23">
        <f>SUM(Прил3!I330)</f>
        <v>0</v>
      </c>
      <c r="J196" s="23">
        <f>SUM(Прил3!J330)</f>
        <v>0</v>
      </c>
      <c r="K196" s="23">
        <f>SUM(Прил3!K330)</f>
        <v>0</v>
      </c>
      <c r="L196" s="23"/>
      <c r="M196" s="24">
        <f t="shared" si="6"/>
        <v>17442470</v>
      </c>
    </row>
    <row r="197" spans="1:13" ht="102">
      <c r="A197" s="43">
        <v>250353</v>
      </c>
      <c r="B197" s="2" t="s">
        <v>797</v>
      </c>
      <c r="C197" s="23">
        <f>SUM(Прил3!C331)</f>
        <v>411181.6</v>
      </c>
      <c r="D197" s="23">
        <f>SUM(Прил3!D331)</f>
        <v>0</v>
      </c>
      <c r="E197" s="23">
        <f>SUM(Прил3!E331)</f>
        <v>0</v>
      </c>
      <c r="F197" s="23">
        <f>SUM(Прил3!F331)</f>
        <v>0</v>
      </c>
      <c r="G197" s="23">
        <f>SUM(Прил3!G331)</f>
        <v>0</v>
      </c>
      <c r="H197" s="23">
        <f>SUM(Прил3!H331)</f>
        <v>0</v>
      </c>
      <c r="I197" s="23">
        <f>SUM(Прил3!I331)</f>
        <v>0</v>
      </c>
      <c r="J197" s="23">
        <f>SUM(Прил3!J331)</f>
        <v>0</v>
      </c>
      <c r="K197" s="23">
        <f>SUM(Прил3!K331)</f>
        <v>0</v>
      </c>
      <c r="L197" s="23">
        <f>SUM(Прил3!L331)</f>
        <v>0</v>
      </c>
      <c r="M197" s="23">
        <f>SUM(Прил3!M331)</f>
        <v>375700</v>
      </c>
    </row>
    <row r="198" spans="1:13" ht="51">
      <c r="A198" s="22" t="s">
        <v>247</v>
      </c>
      <c r="B198" s="26" t="s">
        <v>455</v>
      </c>
      <c r="C198" s="23">
        <v>0</v>
      </c>
      <c r="D198" s="23">
        <v>0</v>
      </c>
      <c r="E198" s="23">
        <v>0</v>
      </c>
      <c r="F198" s="23">
        <v>1137720</v>
      </c>
      <c r="G198" s="23">
        <f>SUM(G199)</f>
        <v>95832</v>
      </c>
      <c r="H198" s="23">
        <v>0</v>
      </c>
      <c r="I198" s="23">
        <v>0</v>
      </c>
      <c r="J198" s="23">
        <f>SUM(J199:J200)</f>
        <v>1041888</v>
      </c>
      <c r="K198" s="23">
        <v>0</v>
      </c>
      <c r="L198" s="23"/>
      <c r="M198" s="24">
        <f t="shared" si="6"/>
        <v>1137720</v>
      </c>
    </row>
    <row r="199" spans="1:13" ht="25.5">
      <c r="A199" s="22"/>
      <c r="B199" s="27" t="s">
        <v>900</v>
      </c>
      <c r="C199" s="23">
        <v>0</v>
      </c>
      <c r="D199" s="23">
        <v>0</v>
      </c>
      <c r="E199" s="23">
        <v>0</v>
      </c>
      <c r="F199" s="23">
        <f>SUM(Прил3!F333)</f>
        <v>200366</v>
      </c>
      <c r="G199" s="23">
        <f>SUM(Прил3!G333)</f>
        <v>95832</v>
      </c>
      <c r="H199" s="23">
        <f>SUM(Прил3!H333)</f>
        <v>0</v>
      </c>
      <c r="I199" s="23">
        <f>SUM(Прил3!I333)</f>
        <v>0</v>
      </c>
      <c r="J199" s="23">
        <f>SUM(Прил3!J333)</f>
        <v>104534</v>
      </c>
      <c r="K199" s="23">
        <f>SUM(Прил3!K333)</f>
        <v>0</v>
      </c>
      <c r="L199" s="23"/>
      <c r="M199" s="24">
        <f t="shared" si="6"/>
        <v>200366</v>
      </c>
    </row>
    <row r="200" spans="1:13" ht="18" customHeight="1">
      <c r="A200" s="22"/>
      <c r="B200" s="27" t="s">
        <v>491</v>
      </c>
      <c r="C200" s="23">
        <v>0</v>
      </c>
      <c r="D200" s="23">
        <v>0</v>
      </c>
      <c r="E200" s="23">
        <v>0</v>
      </c>
      <c r="F200" s="23">
        <f>SUM(Прил3!F334)</f>
        <v>937354</v>
      </c>
      <c r="G200" s="23">
        <f>SUM(Прил3!G334)</f>
        <v>0</v>
      </c>
      <c r="H200" s="23">
        <f>SUM(Прил3!H334)</f>
        <v>0</v>
      </c>
      <c r="I200" s="23">
        <f>SUM(Прил3!I334)</f>
        <v>0</v>
      </c>
      <c r="J200" s="23">
        <f>SUM(Прил3!J334)</f>
        <v>937354</v>
      </c>
      <c r="K200" s="23">
        <f>SUM(Прил3!K334)</f>
        <v>0</v>
      </c>
      <c r="L200" s="23"/>
      <c r="M200" s="24">
        <f t="shared" si="6"/>
        <v>937354</v>
      </c>
    </row>
    <row r="201" spans="1:13" ht="52.5" customHeight="1">
      <c r="A201" s="22" t="s">
        <v>244</v>
      </c>
      <c r="B201" s="2" t="s">
        <v>31</v>
      </c>
      <c r="C201" s="23">
        <v>136040</v>
      </c>
      <c r="D201" s="23">
        <v>0</v>
      </c>
      <c r="E201" s="23">
        <v>0</v>
      </c>
      <c r="F201" s="23">
        <v>0</v>
      </c>
      <c r="G201" s="23">
        <v>0</v>
      </c>
      <c r="H201" s="23">
        <v>0</v>
      </c>
      <c r="I201" s="23">
        <v>0</v>
      </c>
      <c r="J201" s="23">
        <v>0</v>
      </c>
      <c r="K201" s="23">
        <v>0</v>
      </c>
      <c r="L201" s="23"/>
      <c r="M201" s="24">
        <f t="shared" si="6"/>
        <v>136040</v>
      </c>
    </row>
    <row r="202" spans="1:13" ht="52.5" customHeight="1">
      <c r="A202" s="43">
        <v>250363</v>
      </c>
      <c r="B202" s="2" t="s">
        <v>270</v>
      </c>
      <c r="C202" s="23"/>
      <c r="D202" s="23"/>
      <c r="E202" s="23"/>
      <c r="F202" s="23">
        <f>SUM(Прил3!F105)</f>
        <v>5600000</v>
      </c>
      <c r="G202" s="23">
        <f>SUM(Прил3!G105)</f>
        <v>0</v>
      </c>
      <c r="H202" s="23">
        <f>SUM(Прил3!H105)</f>
        <v>0</v>
      </c>
      <c r="I202" s="23">
        <f>SUM(Прил3!I105)</f>
        <v>0</v>
      </c>
      <c r="J202" s="23">
        <f>SUM(Прил3!J105)</f>
        <v>5600000</v>
      </c>
      <c r="K202" s="23">
        <f>SUM(Прил3!K105)</f>
        <v>5600000</v>
      </c>
      <c r="L202" s="23">
        <f>SUM(Прил3!L105)</f>
        <v>5600000</v>
      </c>
      <c r="M202" s="24">
        <f>SUM(F202)</f>
        <v>5600000</v>
      </c>
    </row>
    <row r="203" spans="1:13" ht="12.75">
      <c r="A203" s="22" t="s">
        <v>140</v>
      </c>
      <c r="B203" s="25" t="s">
        <v>586</v>
      </c>
      <c r="C203" s="23">
        <f>SUM(Прил3!C336)</f>
        <v>1651766</v>
      </c>
      <c r="D203" s="23">
        <f>SUM(Прил3!D336)</f>
        <v>0</v>
      </c>
      <c r="E203" s="23">
        <f>SUM(Прил3!E336)</f>
        <v>0</v>
      </c>
      <c r="F203" s="23">
        <f>SUM(Прил3!F336)</f>
        <v>0</v>
      </c>
      <c r="G203" s="23">
        <f>SUM(Прил3!G336)</f>
        <v>0</v>
      </c>
      <c r="H203" s="23">
        <f>SUM(Прил3!H336)</f>
        <v>0</v>
      </c>
      <c r="I203" s="23">
        <f>SUM(Прил3!I336)</f>
        <v>0</v>
      </c>
      <c r="J203" s="23">
        <f>SUM(Прил3!J336)</f>
        <v>0</v>
      </c>
      <c r="K203" s="23">
        <f>SUM(Прил3!K336)</f>
        <v>0</v>
      </c>
      <c r="L203" s="23"/>
      <c r="M203" s="24">
        <f t="shared" si="6"/>
        <v>1651766</v>
      </c>
    </row>
    <row r="204" spans="1:13" ht="12.75">
      <c r="A204" s="32"/>
      <c r="B204" s="9" t="s">
        <v>853</v>
      </c>
      <c r="C204" s="21">
        <f>SUM(C190+C191)</f>
        <v>2255463127.9999995</v>
      </c>
      <c r="D204" s="21">
        <f aca="true" t="shared" si="8" ref="D204:L204">SUM(D190+D191)</f>
        <v>974000986.28</v>
      </c>
      <c r="E204" s="21">
        <f t="shared" si="8"/>
        <v>80184925.22999999</v>
      </c>
      <c r="F204" s="21">
        <f t="shared" si="8"/>
        <v>399907866</v>
      </c>
      <c r="G204" s="21">
        <f t="shared" si="8"/>
        <v>89345434</v>
      </c>
      <c r="H204" s="21">
        <f t="shared" si="8"/>
        <v>9288229</v>
      </c>
      <c r="I204" s="21">
        <f t="shared" si="8"/>
        <v>1653483</v>
      </c>
      <c r="J204" s="21">
        <f t="shared" si="8"/>
        <v>310562432</v>
      </c>
      <c r="K204" s="21">
        <f t="shared" si="8"/>
        <v>285121426</v>
      </c>
      <c r="L204" s="21">
        <f t="shared" si="8"/>
        <v>65072100</v>
      </c>
      <c r="M204" s="21">
        <f t="shared" si="6"/>
        <v>2655370993.9999995</v>
      </c>
    </row>
    <row r="205" spans="1:13" ht="12.75">
      <c r="A205" s="40"/>
      <c r="B205" s="41"/>
      <c r="C205" s="42"/>
      <c r="D205" s="42"/>
      <c r="E205" s="42"/>
      <c r="F205" s="42"/>
      <c r="G205" s="42"/>
      <c r="H205" s="42"/>
      <c r="I205" s="42"/>
      <c r="J205" s="42"/>
      <c r="K205" s="42"/>
      <c r="L205" s="42"/>
      <c r="M205" s="42"/>
    </row>
    <row r="206" spans="1:13" ht="12.75">
      <c r="A206" s="40"/>
      <c r="B206" s="41"/>
      <c r="C206" s="42"/>
      <c r="D206" s="42"/>
      <c r="E206" s="42"/>
      <c r="F206" s="42"/>
      <c r="G206" s="42"/>
      <c r="H206" s="42"/>
      <c r="I206" s="42"/>
      <c r="J206" s="42"/>
      <c r="K206" s="42"/>
      <c r="L206" s="42"/>
      <c r="M206" s="42"/>
    </row>
    <row r="207" spans="1:13" ht="12.75">
      <c r="A207" s="40"/>
      <c r="B207" s="41"/>
      <c r="C207" s="42"/>
      <c r="D207" s="42"/>
      <c r="E207" s="42"/>
      <c r="F207" s="42"/>
      <c r="G207" s="42"/>
      <c r="H207" s="42"/>
      <c r="I207" s="42"/>
      <c r="J207" s="42"/>
      <c r="K207" s="42"/>
      <c r="L207" s="42"/>
      <c r="M207" s="42"/>
    </row>
    <row r="208" spans="1:13" ht="12.75">
      <c r="A208" s="40"/>
      <c r="B208" s="41"/>
      <c r="C208" s="42"/>
      <c r="D208" s="42"/>
      <c r="E208" s="42"/>
      <c r="F208" s="42"/>
      <c r="G208" s="42"/>
      <c r="H208" s="42"/>
      <c r="I208" s="42"/>
      <c r="J208" s="42"/>
      <c r="K208" s="42"/>
      <c r="L208" s="42"/>
      <c r="M208" s="42"/>
    </row>
    <row r="209" spans="1:13" ht="12.75">
      <c r="A209" s="40"/>
      <c r="B209" s="41"/>
      <c r="C209" s="42"/>
      <c r="D209" s="42"/>
      <c r="E209" s="42"/>
      <c r="F209" s="42"/>
      <c r="G209" s="42"/>
      <c r="H209" s="42"/>
      <c r="I209" s="42"/>
      <c r="J209" s="42"/>
      <c r="K209" s="42"/>
      <c r="L209" s="42"/>
      <c r="M209" s="42"/>
    </row>
    <row r="210" spans="1:13" ht="12.75">
      <c r="A210" s="40"/>
      <c r="B210" s="41"/>
      <c r="C210" s="42"/>
      <c r="D210" s="42"/>
      <c r="E210" s="42"/>
      <c r="F210" s="42"/>
      <c r="G210" s="42"/>
      <c r="H210" s="42"/>
      <c r="I210" s="42"/>
      <c r="J210" s="42"/>
      <c r="K210" s="42"/>
      <c r="L210" s="42"/>
      <c r="M210" s="42"/>
    </row>
    <row r="211" spans="2:13" ht="12.75">
      <c r="B211" s="38">
        <v>41933</v>
      </c>
      <c r="C211" s="39">
        <f>SUM('[1]Прил2'!$C$199)</f>
        <v>2254888690</v>
      </c>
      <c r="D211" s="39">
        <f>SUM('[1]Прил2'!$D$199)</f>
        <v>975096523.52</v>
      </c>
      <c r="E211" s="39">
        <f>SUM('[1]Прил2'!$E$199)</f>
        <v>78213275</v>
      </c>
      <c r="F211" s="39">
        <f>SUM('[1]Прил2'!$F$199)</f>
        <v>378896000</v>
      </c>
      <c r="G211" s="39">
        <f>SUM('[1]Прил2'!$G$199)</f>
        <v>89945436</v>
      </c>
      <c r="H211" s="39">
        <f>SUM('[1]Прил2'!$H$199)</f>
        <v>9288229</v>
      </c>
      <c r="I211" s="39">
        <f>SUM('[1]Прил2'!$I$199)</f>
        <v>1653483</v>
      </c>
      <c r="J211" s="39">
        <f>SUM('[1]Прил2'!$J$199)</f>
        <v>288950564</v>
      </c>
      <c r="K211" s="39">
        <f>SUM('[1]Прил2'!$K$199)</f>
        <v>260121626</v>
      </c>
      <c r="L211" s="39">
        <f>SUM('[1]Прил2'!$L$199)</f>
        <v>59472100</v>
      </c>
      <c r="M211" s="39">
        <f>SUM('[1]Прил2'!$M$199)</f>
        <v>2633784690</v>
      </c>
    </row>
    <row r="212" spans="3:13" ht="12.75">
      <c r="C212" s="37">
        <f>SUM(C211-C204)</f>
        <v>-574437.9999995232</v>
      </c>
      <c r="D212" s="37">
        <f aca="true" t="shared" si="9" ref="D212:M212">SUM(D211-D204)</f>
        <v>1095537.2400000095</v>
      </c>
      <c r="E212" s="37">
        <f t="shared" si="9"/>
        <v>-1971650.2299999893</v>
      </c>
      <c r="F212" s="37">
        <f t="shared" si="9"/>
        <v>-21011866</v>
      </c>
      <c r="G212" s="37">
        <f t="shared" si="9"/>
        <v>600002</v>
      </c>
      <c r="H212" s="37">
        <f t="shared" si="9"/>
        <v>0</v>
      </c>
      <c r="I212" s="37">
        <f t="shared" si="9"/>
        <v>0</v>
      </c>
      <c r="J212" s="37">
        <f t="shared" si="9"/>
        <v>-21611868</v>
      </c>
      <c r="K212" s="37">
        <f t="shared" si="9"/>
        <v>-24999800</v>
      </c>
      <c r="L212" s="37">
        <f>L211-L204</f>
        <v>-5600000</v>
      </c>
      <c r="M212" s="37">
        <f t="shared" si="9"/>
        <v>-21586303.999999523</v>
      </c>
    </row>
    <row r="213" spans="2:9" ht="12.75">
      <c r="B213" s="36"/>
      <c r="I213" s="13"/>
    </row>
    <row r="214" ht="12.75">
      <c r="C214" s="37"/>
    </row>
  </sheetData>
  <sheetProtection selectLockedCells="1" selectUnlockedCells="1"/>
  <mergeCells count="19">
    <mergeCell ref="A7:M7"/>
    <mergeCell ref="A8:M8"/>
    <mergeCell ref="J11:J13"/>
    <mergeCell ref="A10:A13"/>
    <mergeCell ref="B10:B13"/>
    <mergeCell ref="C10:E10"/>
    <mergeCell ref="D11:E11"/>
    <mergeCell ref="F11:F13"/>
    <mergeCell ref="G11:G13"/>
    <mergeCell ref="H11:I11"/>
    <mergeCell ref="M10:M13"/>
    <mergeCell ref="C11:C13"/>
    <mergeCell ref="F10:L10"/>
    <mergeCell ref="K11:L11"/>
    <mergeCell ref="K12:K13"/>
    <mergeCell ref="D12:D13"/>
    <mergeCell ref="E12:E13"/>
    <mergeCell ref="H12:H13"/>
    <mergeCell ref="I12:I13"/>
  </mergeCells>
  <printOptions/>
  <pageMargins left="0.52" right="0.19" top="0.61" bottom="0.2" header="0.54" footer="0.19"/>
  <pageSetup fitToHeight="8" horizontalDpi="600" verticalDpi="600" orientation="landscape" paperSize="9" scale="63" r:id="rId1"/>
  <rowBreaks count="2" manualBreakCount="2">
    <brk id="165" max="12" man="1"/>
    <brk id="193" max="12" man="1"/>
  </rowBreaks>
</worksheet>
</file>

<file path=xl/worksheets/sheet3.xml><?xml version="1.0" encoding="utf-8"?>
<worksheet xmlns="http://schemas.openxmlformats.org/spreadsheetml/2006/main" xmlns:r="http://schemas.openxmlformats.org/officeDocument/2006/relationships">
  <dimension ref="A1:N350"/>
  <sheetViews>
    <sheetView view="pageBreakPreview" zoomScale="75" zoomScaleSheetLayoutView="75" workbookViewId="0" topLeftCell="A328">
      <selection activeCell="A330" sqref="A330"/>
    </sheetView>
  </sheetViews>
  <sheetFormatPr defaultColWidth="9.140625" defaultRowHeight="12.75"/>
  <cols>
    <col min="1" max="1" width="40.00390625" style="47" customWidth="1"/>
    <col min="2" max="2" width="49.140625" style="47" customWidth="1"/>
    <col min="3" max="3" width="30.421875" style="47" customWidth="1"/>
    <col min="4" max="4" width="26.421875" style="47" customWidth="1"/>
    <col min="5" max="5" width="28.140625" style="47" customWidth="1"/>
    <col min="6" max="6" width="25.8515625" style="47" customWidth="1"/>
    <col min="7" max="7" width="24.8515625" style="47" customWidth="1"/>
    <col min="8" max="8" width="20.8515625" style="47" customWidth="1"/>
    <col min="9" max="9" width="22.140625" style="47" customWidth="1"/>
    <col min="10" max="10" width="24.57421875" style="47" customWidth="1"/>
    <col min="11" max="12" width="27.28125" style="47" customWidth="1"/>
    <col min="13" max="13" width="22.57421875" style="47" customWidth="1"/>
    <col min="14" max="14" width="11.421875" style="47" bestFit="1" customWidth="1"/>
    <col min="15" max="16384" width="9.140625" style="47" customWidth="1"/>
  </cols>
  <sheetData>
    <row r="1" ht="16.5">
      <c r="K1" s="48" t="s">
        <v>638</v>
      </c>
    </row>
    <row r="2" ht="16.5">
      <c r="K2" s="48" t="s">
        <v>143</v>
      </c>
    </row>
    <row r="3" ht="16.5">
      <c r="K3" s="49" t="s">
        <v>457</v>
      </c>
    </row>
    <row r="4" ht="16.5">
      <c r="K4" s="49" t="s">
        <v>578</v>
      </c>
    </row>
    <row r="5" spans="11:12" ht="16.5">
      <c r="K5" s="709" t="s">
        <v>778</v>
      </c>
      <c r="L5" s="99"/>
    </row>
    <row r="7" spans="1:14" ht="16.5">
      <c r="A7" s="50"/>
      <c r="B7" s="51"/>
      <c r="C7" s="617" t="s">
        <v>659</v>
      </c>
      <c r="D7" s="618"/>
      <c r="E7" s="618"/>
      <c r="F7" s="618"/>
      <c r="G7" s="618"/>
      <c r="H7" s="618"/>
      <c r="I7" s="618"/>
      <c r="J7" s="618"/>
      <c r="K7" s="618"/>
      <c r="L7" s="618"/>
      <c r="M7" s="618"/>
      <c r="N7" s="618"/>
    </row>
    <row r="8" spans="1:13" ht="16.5">
      <c r="A8" s="579"/>
      <c r="B8" s="580"/>
      <c r="C8" s="580"/>
      <c r="D8" s="580"/>
      <c r="E8" s="580"/>
      <c r="F8" s="580"/>
      <c r="G8" s="580"/>
      <c r="H8" s="580"/>
      <c r="I8" s="580"/>
      <c r="J8" s="580"/>
      <c r="K8" s="580"/>
      <c r="L8" s="580"/>
      <c r="M8" s="580"/>
    </row>
    <row r="9" ht="17.25" thickBot="1">
      <c r="M9" s="52" t="s">
        <v>523</v>
      </c>
    </row>
    <row r="10" spans="1:13" ht="13.5" customHeight="1" thickBot="1">
      <c r="A10" s="581" t="s">
        <v>272</v>
      </c>
      <c r="B10" s="583" t="s">
        <v>141</v>
      </c>
      <c r="C10" s="612" t="s">
        <v>186</v>
      </c>
      <c r="D10" s="588"/>
      <c r="E10" s="589"/>
      <c r="F10" s="612" t="s">
        <v>654</v>
      </c>
      <c r="G10" s="588"/>
      <c r="H10" s="588"/>
      <c r="I10" s="588"/>
      <c r="J10" s="588"/>
      <c r="K10" s="588"/>
      <c r="L10" s="590"/>
      <c r="M10" s="586" t="s">
        <v>496</v>
      </c>
    </row>
    <row r="11" spans="1:13" ht="45" customHeight="1" thickBot="1">
      <c r="A11" s="582"/>
      <c r="B11" s="584"/>
      <c r="C11" s="591" t="s">
        <v>495</v>
      </c>
      <c r="D11" s="612" t="s">
        <v>655</v>
      </c>
      <c r="E11" s="613"/>
      <c r="F11" s="621" t="s">
        <v>495</v>
      </c>
      <c r="G11" s="610" t="s">
        <v>640</v>
      </c>
      <c r="H11" s="612" t="s">
        <v>655</v>
      </c>
      <c r="I11" s="613"/>
      <c r="J11" s="621" t="s">
        <v>641</v>
      </c>
      <c r="K11" s="612" t="s">
        <v>655</v>
      </c>
      <c r="L11" s="613"/>
      <c r="M11" s="587"/>
    </row>
    <row r="12" spans="1:13" ht="12.75" customHeight="1" thickBot="1">
      <c r="A12" s="614" t="s">
        <v>588</v>
      </c>
      <c r="B12" s="621" t="s">
        <v>589</v>
      </c>
      <c r="C12" s="587"/>
      <c r="D12" s="610" t="s">
        <v>939</v>
      </c>
      <c r="E12" s="610" t="s">
        <v>639</v>
      </c>
      <c r="F12" s="622"/>
      <c r="G12" s="619"/>
      <c r="H12" s="610" t="s">
        <v>939</v>
      </c>
      <c r="I12" s="610" t="s">
        <v>639</v>
      </c>
      <c r="J12" s="622"/>
      <c r="K12" s="610" t="s">
        <v>642</v>
      </c>
      <c r="L12" s="53" t="s">
        <v>643</v>
      </c>
      <c r="M12" s="587"/>
    </row>
    <row r="13" spans="1:13" ht="103.5" customHeight="1" thickBot="1">
      <c r="A13" s="615"/>
      <c r="B13" s="585"/>
      <c r="C13" s="578"/>
      <c r="D13" s="616"/>
      <c r="E13" s="616"/>
      <c r="F13" s="578"/>
      <c r="G13" s="620"/>
      <c r="H13" s="616"/>
      <c r="I13" s="616"/>
      <c r="J13" s="578"/>
      <c r="K13" s="611"/>
      <c r="L13" s="46" t="s">
        <v>796</v>
      </c>
      <c r="M13" s="578"/>
    </row>
    <row r="14" spans="1:13" ht="18.75" customHeight="1" thickBot="1">
      <c r="A14" s="103">
        <v>1</v>
      </c>
      <c r="B14" s="102">
        <v>2</v>
      </c>
      <c r="C14" s="45">
        <v>3</v>
      </c>
      <c r="D14" s="45">
        <v>4</v>
      </c>
      <c r="E14" s="45">
        <v>5</v>
      </c>
      <c r="F14" s="45">
        <v>6</v>
      </c>
      <c r="G14" s="45">
        <v>7</v>
      </c>
      <c r="H14" s="45">
        <v>8</v>
      </c>
      <c r="I14" s="45">
        <v>9</v>
      </c>
      <c r="J14" s="45">
        <v>10</v>
      </c>
      <c r="K14" s="45">
        <v>11</v>
      </c>
      <c r="L14" s="45">
        <v>12</v>
      </c>
      <c r="M14" s="54" t="s">
        <v>273</v>
      </c>
    </row>
    <row r="15" spans="1:13" ht="33">
      <c r="A15" s="55" t="s">
        <v>653</v>
      </c>
      <c r="B15" s="56" t="s">
        <v>595</v>
      </c>
      <c r="C15" s="57">
        <f>C16+C17+C21+C23+C24</f>
        <v>44797764.2</v>
      </c>
      <c r="D15" s="57">
        <f>SUM(D16)</f>
        <v>31851444.76</v>
      </c>
      <c r="E15" s="57">
        <f>SUM(E16)</f>
        <v>755065.16</v>
      </c>
      <c r="F15" s="57">
        <f>SUM(F21+F16)</f>
        <v>2016412</v>
      </c>
      <c r="G15" s="57">
        <f>SUM(G21)</f>
        <v>1779312</v>
      </c>
      <c r="H15" s="57">
        <v>0</v>
      </c>
      <c r="I15" s="57">
        <v>0</v>
      </c>
      <c r="J15" s="57">
        <f>SUM(J16)</f>
        <v>237100</v>
      </c>
      <c r="K15" s="57">
        <f>SUM(K16)</f>
        <v>237100</v>
      </c>
      <c r="L15" s="57">
        <f>SUM(L16)</f>
        <v>237100</v>
      </c>
      <c r="M15" s="57">
        <f aca="true" t="shared" si="0" ref="M15:M85">C15+F15</f>
        <v>46814176.2</v>
      </c>
    </row>
    <row r="16" spans="1:13" ht="54.75" customHeight="1">
      <c r="A16" s="58" t="s">
        <v>274</v>
      </c>
      <c r="B16" s="59" t="s">
        <v>497</v>
      </c>
      <c r="C16" s="60">
        <f>32328468-258493+118273+8188152-1218500+2563600+262859-1667000+1717000+296550</f>
        <v>42330909</v>
      </c>
      <c r="D16" s="60">
        <f>20936480-189650+86670+6007448+2386600+1717000+290000+616896.76</f>
        <v>31851444.76</v>
      </c>
      <c r="E16" s="60">
        <f>698820+177000-120754.84</f>
        <v>755065.16</v>
      </c>
      <c r="F16" s="60">
        <f>SUM(G16+J16)</f>
        <v>237100</v>
      </c>
      <c r="G16" s="60">
        <v>0</v>
      </c>
      <c r="H16" s="60">
        <v>0</v>
      </c>
      <c r="I16" s="60">
        <v>0</v>
      </c>
      <c r="J16" s="60">
        <v>237100</v>
      </c>
      <c r="K16" s="60">
        <v>237100</v>
      </c>
      <c r="L16" s="60">
        <v>237100</v>
      </c>
      <c r="M16" s="61">
        <f t="shared" si="0"/>
        <v>42568009</v>
      </c>
    </row>
    <row r="17" spans="1:13" ht="33">
      <c r="A17" s="58" t="s">
        <v>275</v>
      </c>
      <c r="B17" s="62" t="s">
        <v>318</v>
      </c>
      <c r="C17" s="60">
        <f>SUM(C18:C20)</f>
        <v>10655.2</v>
      </c>
      <c r="D17" s="60">
        <v>0</v>
      </c>
      <c r="E17" s="60">
        <v>0</v>
      </c>
      <c r="F17" s="60">
        <v>0</v>
      </c>
      <c r="G17" s="60">
        <v>0</v>
      </c>
      <c r="H17" s="60">
        <v>0</v>
      </c>
      <c r="I17" s="60">
        <v>0</v>
      </c>
      <c r="J17" s="60">
        <v>0</v>
      </c>
      <c r="K17" s="60">
        <v>0</v>
      </c>
      <c r="L17" s="60"/>
      <c r="M17" s="61">
        <f t="shared" si="0"/>
        <v>10655.2</v>
      </c>
    </row>
    <row r="18" spans="1:13" ht="49.5">
      <c r="A18" s="58"/>
      <c r="B18" s="62" t="s">
        <v>579</v>
      </c>
      <c r="C18" s="60">
        <f>68400-62840</f>
        <v>5560</v>
      </c>
      <c r="D18" s="60"/>
      <c r="E18" s="60"/>
      <c r="F18" s="60"/>
      <c r="G18" s="60"/>
      <c r="H18" s="60"/>
      <c r="I18" s="60"/>
      <c r="J18" s="60"/>
      <c r="K18" s="60"/>
      <c r="L18" s="60"/>
      <c r="M18" s="61">
        <f>SUM(C18)</f>
        <v>5560</v>
      </c>
    </row>
    <row r="19" spans="1:13" ht="49.5">
      <c r="A19" s="58"/>
      <c r="B19" s="62" t="s">
        <v>916</v>
      </c>
      <c r="C19" s="60">
        <f>451820-451160</f>
        <v>660</v>
      </c>
      <c r="D19" s="60"/>
      <c r="E19" s="60"/>
      <c r="F19" s="60"/>
      <c r="G19" s="60"/>
      <c r="H19" s="60"/>
      <c r="I19" s="60"/>
      <c r="J19" s="60"/>
      <c r="K19" s="60"/>
      <c r="L19" s="60"/>
      <c r="M19" s="61">
        <f>SUM(C19)</f>
        <v>660</v>
      </c>
    </row>
    <row r="20" spans="1:13" ht="97.5" customHeight="1">
      <c r="A20" s="58"/>
      <c r="B20" s="59" t="s">
        <v>34</v>
      </c>
      <c r="C20" s="60">
        <v>4435.2</v>
      </c>
      <c r="D20" s="60"/>
      <c r="E20" s="60"/>
      <c r="F20" s="60"/>
      <c r="G20" s="60"/>
      <c r="H20" s="60"/>
      <c r="I20" s="60"/>
      <c r="J20" s="60"/>
      <c r="K20" s="60"/>
      <c r="L20" s="60"/>
      <c r="M20" s="61">
        <f t="shared" si="0"/>
        <v>4435.2</v>
      </c>
    </row>
    <row r="21" spans="1:13" ht="75" customHeight="1">
      <c r="A21" s="58" t="s">
        <v>276</v>
      </c>
      <c r="B21" s="59" t="s">
        <v>189</v>
      </c>
      <c r="C21" s="60">
        <v>0</v>
      </c>
      <c r="D21" s="60">
        <v>0</v>
      </c>
      <c r="E21" s="60">
        <v>0</v>
      </c>
      <c r="F21" s="60">
        <f>SUM(F22)</f>
        <v>1779312</v>
      </c>
      <c r="G21" s="60">
        <f>SUM(G22)</f>
        <v>1779312</v>
      </c>
      <c r="H21" s="60">
        <v>0</v>
      </c>
      <c r="I21" s="60">
        <v>0</v>
      </c>
      <c r="J21" s="60">
        <v>0</v>
      </c>
      <c r="K21" s="60">
        <v>0</v>
      </c>
      <c r="L21" s="60"/>
      <c r="M21" s="61">
        <f t="shared" si="0"/>
        <v>1779312</v>
      </c>
    </row>
    <row r="22" spans="1:13" ht="33">
      <c r="A22" s="58"/>
      <c r="B22" s="59" t="s">
        <v>803</v>
      </c>
      <c r="C22" s="60"/>
      <c r="D22" s="60"/>
      <c r="E22" s="60"/>
      <c r="F22" s="60">
        <f>SUM(G22)</f>
        <v>1779312</v>
      </c>
      <c r="G22" s="60">
        <v>1779312</v>
      </c>
      <c r="H22" s="60"/>
      <c r="I22" s="60"/>
      <c r="J22" s="60"/>
      <c r="K22" s="60"/>
      <c r="L22" s="60"/>
      <c r="M22" s="61">
        <f>SUM(F22)</f>
        <v>1779312</v>
      </c>
    </row>
    <row r="23" spans="1:13" ht="72.75" customHeight="1">
      <c r="A23" s="73">
        <v>250203</v>
      </c>
      <c r="B23" s="59" t="s">
        <v>798</v>
      </c>
      <c r="C23" s="60">
        <v>2364700</v>
      </c>
      <c r="D23" s="60"/>
      <c r="E23" s="60"/>
      <c r="F23" s="60"/>
      <c r="G23" s="60"/>
      <c r="H23" s="60"/>
      <c r="I23" s="60"/>
      <c r="J23" s="60"/>
      <c r="K23" s="60"/>
      <c r="L23" s="60"/>
      <c r="M23" s="61">
        <f>SUM(C23)</f>
        <v>2364700</v>
      </c>
    </row>
    <row r="24" spans="1:13" ht="27" customHeight="1" thickBot="1">
      <c r="A24" s="58" t="s">
        <v>277</v>
      </c>
      <c r="B24" s="59" t="s">
        <v>591</v>
      </c>
      <c r="C24" s="60">
        <f>541500-400000-50000</f>
        <v>91500</v>
      </c>
      <c r="D24" s="60">
        <v>0</v>
      </c>
      <c r="E24" s="60">
        <v>0</v>
      </c>
      <c r="F24" s="60">
        <v>0</v>
      </c>
      <c r="G24" s="60">
        <v>0</v>
      </c>
      <c r="H24" s="60">
        <v>0</v>
      </c>
      <c r="I24" s="60">
        <v>0</v>
      </c>
      <c r="J24" s="60">
        <v>0</v>
      </c>
      <c r="K24" s="60">
        <v>0</v>
      </c>
      <c r="L24" s="60"/>
      <c r="M24" s="61">
        <f t="shared" si="0"/>
        <v>91500</v>
      </c>
    </row>
    <row r="25" spans="1:13" ht="33">
      <c r="A25" s="63">
        <v>10</v>
      </c>
      <c r="B25" s="64" t="s">
        <v>580</v>
      </c>
      <c r="C25" s="57">
        <f>C26+C27+C36+C37+C39+C41+C45+C46</f>
        <v>690173568.06</v>
      </c>
      <c r="D25" s="57">
        <f>D26+D27+D37</f>
        <v>447371114</v>
      </c>
      <c r="E25" s="57">
        <f>SUM(E27+E37+E46)</f>
        <v>45968849.26</v>
      </c>
      <c r="F25" s="57">
        <f>F26+F27+F38+F42+F43</f>
        <v>46276074</v>
      </c>
      <c r="G25" s="57">
        <f>G26+G27+G42+G43</f>
        <v>30328636</v>
      </c>
      <c r="H25" s="57">
        <v>0</v>
      </c>
      <c r="I25" s="57">
        <v>304760</v>
      </c>
      <c r="J25" s="57">
        <f>SUM(J38+J43)</f>
        <v>15947438</v>
      </c>
      <c r="K25" s="57">
        <f>SUM(K38)</f>
        <v>15800784</v>
      </c>
      <c r="L25" s="57"/>
      <c r="M25" s="57">
        <f t="shared" si="0"/>
        <v>736449642.06</v>
      </c>
    </row>
    <row r="26" spans="1:13" ht="16.5">
      <c r="A26" s="58" t="s">
        <v>274</v>
      </c>
      <c r="B26" s="59" t="s">
        <v>497</v>
      </c>
      <c r="C26" s="60">
        <f>2729594+675446+160000</f>
        <v>3565040</v>
      </c>
      <c r="D26" s="60">
        <f>1977140+495558+135000</f>
        <v>2607698</v>
      </c>
      <c r="E26" s="60">
        <v>0</v>
      </c>
      <c r="F26" s="60">
        <v>0</v>
      </c>
      <c r="G26" s="60">
        <v>0</v>
      </c>
      <c r="H26" s="60">
        <v>0</v>
      </c>
      <c r="I26" s="60">
        <v>0</v>
      </c>
      <c r="J26" s="60">
        <v>0</v>
      </c>
      <c r="K26" s="60">
        <v>0</v>
      </c>
      <c r="L26" s="60"/>
      <c r="M26" s="61">
        <f t="shared" si="0"/>
        <v>3565040</v>
      </c>
    </row>
    <row r="27" spans="1:13" ht="16.5">
      <c r="A27" s="65" t="s">
        <v>278</v>
      </c>
      <c r="B27" s="59" t="s">
        <v>500</v>
      </c>
      <c r="C27" s="66">
        <f>C28+C29+C31+C32+C33+C34+C35</f>
        <v>675815231</v>
      </c>
      <c r="D27" s="66">
        <f>SUM(D28+D29+D31+D32+D33+D34)</f>
        <v>437984216</v>
      </c>
      <c r="E27" s="66">
        <f>SUM(E28+E29+E31+E32+E33+E34+E35)</f>
        <v>45105660</v>
      </c>
      <c r="F27" s="66">
        <v>21874320</v>
      </c>
      <c r="G27" s="66">
        <f>G28+G29+G31</f>
        <v>21874320</v>
      </c>
      <c r="H27" s="66">
        <v>0</v>
      </c>
      <c r="I27" s="66">
        <v>304760</v>
      </c>
      <c r="J27" s="66">
        <v>0</v>
      </c>
      <c r="K27" s="66">
        <v>0</v>
      </c>
      <c r="L27" s="66"/>
      <c r="M27" s="67">
        <f t="shared" si="0"/>
        <v>697689551</v>
      </c>
    </row>
    <row r="28" spans="1:13" ht="16.5">
      <c r="A28" s="58" t="s">
        <v>279</v>
      </c>
      <c r="B28" s="59" t="s">
        <v>918</v>
      </c>
      <c r="C28" s="60">
        <f>143705845+76471900-4000+1248100-1248100-2797400-812214</f>
        <v>216564131</v>
      </c>
      <c r="D28" s="60">
        <f>82030980+56105600+736395-736395-1795360-617829</f>
        <v>135723391</v>
      </c>
      <c r="E28" s="60">
        <v>19283860</v>
      </c>
      <c r="F28" s="60">
        <v>19877040</v>
      </c>
      <c r="G28" s="60">
        <v>19877040</v>
      </c>
      <c r="H28" s="60">
        <v>0</v>
      </c>
      <c r="I28" s="60">
        <v>3040</v>
      </c>
      <c r="J28" s="60">
        <v>0</v>
      </c>
      <c r="K28" s="60">
        <v>0</v>
      </c>
      <c r="L28" s="60"/>
      <c r="M28" s="61">
        <f t="shared" si="0"/>
        <v>236441171</v>
      </c>
    </row>
    <row r="29" spans="1:13" ht="66">
      <c r="A29" s="58" t="s">
        <v>246</v>
      </c>
      <c r="B29" s="59" t="s">
        <v>319</v>
      </c>
      <c r="C29" s="60">
        <f>280057852+115900+1101700+134231706+81360+1934300</f>
        <v>417522818</v>
      </c>
      <c r="D29" s="60">
        <f>173408440+85025+808300+98483000</f>
        <v>272784765</v>
      </c>
      <c r="E29" s="60">
        <f>22662820+2434300</f>
        <v>25097120</v>
      </c>
      <c r="F29" s="60">
        <v>1964220</v>
      </c>
      <c r="G29" s="60">
        <v>1964220</v>
      </c>
      <c r="H29" s="60">
        <v>0</v>
      </c>
      <c r="I29" s="60">
        <v>301720</v>
      </c>
      <c r="J29" s="60">
        <v>0</v>
      </c>
      <c r="K29" s="60">
        <v>0</v>
      </c>
      <c r="L29" s="60"/>
      <c r="M29" s="61">
        <f t="shared" si="0"/>
        <v>419487038</v>
      </c>
    </row>
    <row r="30" spans="1:13" ht="66">
      <c r="A30" s="58"/>
      <c r="B30" s="59" t="s">
        <v>808</v>
      </c>
      <c r="C30" s="60">
        <v>5714440</v>
      </c>
      <c r="D30" s="60"/>
      <c r="E30" s="60"/>
      <c r="F30" s="60"/>
      <c r="G30" s="60"/>
      <c r="H30" s="60"/>
      <c r="I30" s="60"/>
      <c r="J30" s="60"/>
      <c r="K30" s="60"/>
      <c r="L30" s="60"/>
      <c r="M30" s="61">
        <f>SUM(C30)</f>
        <v>5714440</v>
      </c>
    </row>
    <row r="31" spans="1:13" ht="49.5">
      <c r="A31" s="58" t="s">
        <v>280</v>
      </c>
      <c r="B31" s="59" t="s">
        <v>142</v>
      </c>
      <c r="C31" s="60">
        <f>17053291+6632200-30780+6100</f>
        <v>23660811</v>
      </c>
      <c r="D31" s="60">
        <f>12098440+4865800</f>
        <v>16964240</v>
      </c>
      <c r="E31" s="60">
        <f>453340+6100</f>
        <v>459440</v>
      </c>
      <c r="F31" s="60">
        <v>33060</v>
      </c>
      <c r="G31" s="60">
        <v>33060</v>
      </c>
      <c r="H31" s="60">
        <v>0</v>
      </c>
      <c r="I31" s="60">
        <v>0</v>
      </c>
      <c r="J31" s="60">
        <v>0</v>
      </c>
      <c r="K31" s="60">
        <v>0</v>
      </c>
      <c r="L31" s="60"/>
      <c r="M31" s="61">
        <f t="shared" si="0"/>
        <v>23693871</v>
      </c>
    </row>
    <row r="32" spans="1:13" ht="33">
      <c r="A32" s="58" t="s">
        <v>281</v>
      </c>
      <c r="B32" s="59" t="s">
        <v>128</v>
      </c>
      <c r="C32" s="60">
        <f>4351840+2326800-220000</f>
        <v>6458640</v>
      </c>
      <c r="D32" s="60">
        <f>3176040+1707100-200000</f>
        <v>4683140</v>
      </c>
      <c r="E32" s="60">
        <v>0</v>
      </c>
      <c r="F32" s="60">
        <v>0</v>
      </c>
      <c r="G32" s="60">
        <v>0</v>
      </c>
      <c r="H32" s="60">
        <v>0</v>
      </c>
      <c r="I32" s="60">
        <v>0</v>
      </c>
      <c r="J32" s="60">
        <v>0</v>
      </c>
      <c r="K32" s="60">
        <v>0</v>
      </c>
      <c r="L32" s="60"/>
      <c r="M32" s="61">
        <f t="shared" si="0"/>
        <v>6458640</v>
      </c>
    </row>
    <row r="33" spans="1:13" ht="33">
      <c r="A33" s="58" t="s">
        <v>282</v>
      </c>
      <c r="B33" s="59" t="s">
        <v>129</v>
      </c>
      <c r="C33" s="60">
        <f>5187761+1885186+4000-80000</f>
        <v>6996947</v>
      </c>
      <c r="D33" s="60">
        <f>3800380+1383100-40000</f>
        <v>5143480</v>
      </c>
      <c r="E33" s="60">
        <v>0</v>
      </c>
      <c r="F33" s="60">
        <v>0</v>
      </c>
      <c r="G33" s="60">
        <v>0</v>
      </c>
      <c r="H33" s="60">
        <v>0</v>
      </c>
      <c r="I33" s="60">
        <v>0</v>
      </c>
      <c r="J33" s="60">
        <v>0</v>
      </c>
      <c r="K33" s="60">
        <v>0</v>
      </c>
      <c r="L33" s="60"/>
      <c r="M33" s="61">
        <f t="shared" si="0"/>
        <v>6996947</v>
      </c>
    </row>
    <row r="34" spans="1:13" ht="33">
      <c r="A34" s="58" t="s">
        <v>283</v>
      </c>
      <c r="B34" s="59" t="s">
        <v>634</v>
      </c>
      <c r="C34" s="60">
        <f>2813536+1191300+357000+140000</f>
        <v>4501836</v>
      </c>
      <c r="D34" s="60">
        <f>1706200+874000+105000</f>
        <v>2685200</v>
      </c>
      <c r="E34" s="60">
        <v>265240</v>
      </c>
      <c r="F34" s="60">
        <v>0</v>
      </c>
      <c r="G34" s="60">
        <v>0</v>
      </c>
      <c r="H34" s="60">
        <v>0</v>
      </c>
      <c r="I34" s="60">
        <v>0</v>
      </c>
      <c r="J34" s="60">
        <v>0</v>
      </c>
      <c r="K34" s="60">
        <v>0</v>
      </c>
      <c r="L34" s="60"/>
      <c r="M34" s="61">
        <f t="shared" si="0"/>
        <v>4501836</v>
      </c>
    </row>
    <row r="35" spans="1:13" ht="49.5">
      <c r="A35" s="58" t="s">
        <v>284</v>
      </c>
      <c r="B35" s="59" t="s">
        <v>8</v>
      </c>
      <c r="C35" s="60">
        <f>103170+6878</f>
        <v>110048</v>
      </c>
      <c r="D35" s="60">
        <v>0</v>
      </c>
      <c r="E35" s="60">
        <v>0</v>
      </c>
      <c r="F35" s="60">
        <v>0</v>
      </c>
      <c r="G35" s="60">
        <v>0</v>
      </c>
      <c r="H35" s="60">
        <v>0</v>
      </c>
      <c r="I35" s="60">
        <v>0</v>
      </c>
      <c r="J35" s="60">
        <v>0</v>
      </c>
      <c r="K35" s="60">
        <v>0</v>
      </c>
      <c r="L35" s="60"/>
      <c r="M35" s="61">
        <f t="shared" si="0"/>
        <v>110048</v>
      </c>
    </row>
    <row r="36" spans="1:13" ht="105" customHeight="1">
      <c r="A36" s="58" t="s">
        <v>285</v>
      </c>
      <c r="B36" s="59" t="s">
        <v>765</v>
      </c>
      <c r="C36" s="60">
        <f>201780-50580</f>
        <v>151200</v>
      </c>
      <c r="D36" s="60">
        <v>0</v>
      </c>
      <c r="E36" s="60">
        <v>0</v>
      </c>
      <c r="F36" s="60">
        <v>0</v>
      </c>
      <c r="G36" s="60">
        <v>0</v>
      </c>
      <c r="H36" s="60">
        <v>0</v>
      </c>
      <c r="I36" s="60">
        <v>0</v>
      </c>
      <c r="J36" s="60">
        <v>0</v>
      </c>
      <c r="K36" s="60">
        <v>0</v>
      </c>
      <c r="L36" s="60"/>
      <c r="M36" s="61">
        <f t="shared" si="0"/>
        <v>151200</v>
      </c>
    </row>
    <row r="37" spans="1:13" ht="36.75" customHeight="1">
      <c r="A37" s="58" t="s">
        <v>286</v>
      </c>
      <c r="B37" s="59" t="s">
        <v>804</v>
      </c>
      <c r="C37" s="60">
        <f>5913719+3937300</f>
        <v>9851019</v>
      </c>
      <c r="D37" s="60">
        <f>3923500+2888700-33000</f>
        <v>6779200</v>
      </c>
      <c r="E37" s="60">
        <f>550620+45000</f>
        <v>595620</v>
      </c>
      <c r="F37" s="60">
        <v>0</v>
      </c>
      <c r="G37" s="60">
        <v>0</v>
      </c>
      <c r="H37" s="60">
        <v>0</v>
      </c>
      <c r="I37" s="60">
        <v>0</v>
      </c>
      <c r="J37" s="60">
        <v>0</v>
      </c>
      <c r="K37" s="60">
        <v>0</v>
      </c>
      <c r="L37" s="60"/>
      <c r="M37" s="61">
        <f t="shared" si="0"/>
        <v>9851019</v>
      </c>
    </row>
    <row r="38" spans="1:13" ht="16.5">
      <c r="A38" s="58" t="s">
        <v>321</v>
      </c>
      <c r="B38" s="59" t="s">
        <v>572</v>
      </c>
      <c r="C38" s="60">
        <v>0</v>
      </c>
      <c r="D38" s="60">
        <v>0</v>
      </c>
      <c r="E38" s="60">
        <v>0</v>
      </c>
      <c r="F38" s="60">
        <f>SUM(J38)</f>
        <v>15800784</v>
      </c>
      <c r="G38" s="60">
        <v>0</v>
      </c>
      <c r="H38" s="60">
        <v>0</v>
      </c>
      <c r="I38" s="60">
        <v>0</v>
      </c>
      <c r="J38" s="60">
        <f>15400884+399900</f>
        <v>15800784</v>
      </c>
      <c r="K38" s="60">
        <f>15400884+399900</f>
        <v>15800784</v>
      </c>
      <c r="L38" s="60"/>
      <c r="M38" s="61">
        <f t="shared" si="0"/>
        <v>15800784</v>
      </c>
    </row>
    <row r="39" spans="1:13" ht="49.5">
      <c r="A39" s="73">
        <v>180410</v>
      </c>
      <c r="B39" s="59" t="s">
        <v>839</v>
      </c>
      <c r="C39" s="60">
        <f>SUM(C40)</f>
        <v>4508.8</v>
      </c>
      <c r="D39" s="60"/>
      <c r="E39" s="60"/>
      <c r="F39" s="60"/>
      <c r="G39" s="60"/>
      <c r="H39" s="60"/>
      <c r="I39" s="60"/>
      <c r="J39" s="60"/>
      <c r="K39" s="60"/>
      <c r="L39" s="60"/>
      <c r="M39" s="61">
        <f>SUM(M40)</f>
        <v>4508.8</v>
      </c>
    </row>
    <row r="40" spans="1:13" ht="107.25" customHeight="1">
      <c r="A40" s="73"/>
      <c r="B40" s="59" t="s">
        <v>34</v>
      </c>
      <c r="C40" s="60">
        <v>4508.8</v>
      </c>
      <c r="D40" s="60"/>
      <c r="E40" s="60"/>
      <c r="F40" s="60"/>
      <c r="G40" s="60"/>
      <c r="H40" s="60"/>
      <c r="I40" s="60"/>
      <c r="J40" s="60"/>
      <c r="K40" s="60"/>
      <c r="L40" s="60"/>
      <c r="M40" s="61">
        <f t="shared" si="0"/>
        <v>4508.8</v>
      </c>
    </row>
    <row r="41" spans="1:13" ht="33">
      <c r="A41" s="58" t="s">
        <v>287</v>
      </c>
      <c r="B41" s="68" t="s">
        <v>315</v>
      </c>
      <c r="C41" s="60">
        <v>19000</v>
      </c>
      <c r="D41" s="60">
        <v>0</v>
      </c>
      <c r="E41" s="60">
        <v>0</v>
      </c>
      <c r="F41" s="60">
        <v>0</v>
      </c>
      <c r="G41" s="60">
        <v>0</v>
      </c>
      <c r="H41" s="60">
        <v>0</v>
      </c>
      <c r="I41" s="60">
        <v>0</v>
      </c>
      <c r="J41" s="60">
        <v>0</v>
      </c>
      <c r="K41" s="60">
        <v>0</v>
      </c>
      <c r="L41" s="60"/>
      <c r="M41" s="61">
        <f t="shared" si="0"/>
        <v>19000</v>
      </c>
    </row>
    <row r="42" spans="1:13" ht="33">
      <c r="A42" s="58" t="s">
        <v>288</v>
      </c>
      <c r="B42" s="59" t="s">
        <v>927</v>
      </c>
      <c r="C42" s="60">
        <v>0</v>
      </c>
      <c r="D42" s="60">
        <v>0</v>
      </c>
      <c r="E42" s="60">
        <v>0</v>
      </c>
      <c r="F42" s="60">
        <v>110196</v>
      </c>
      <c r="G42" s="60">
        <v>110196</v>
      </c>
      <c r="H42" s="60">
        <v>0</v>
      </c>
      <c r="I42" s="60">
        <v>0</v>
      </c>
      <c r="J42" s="60">
        <v>0</v>
      </c>
      <c r="K42" s="60">
        <v>0</v>
      </c>
      <c r="L42" s="60"/>
      <c r="M42" s="61">
        <f t="shared" si="0"/>
        <v>110196</v>
      </c>
    </row>
    <row r="43" spans="1:13" ht="72" customHeight="1">
      <c r="A43" s="58" t="s">
        <v>276</v>
      </c>
      <c r="B43" s="59" t="s">
        <v>189</v>
      </c>
      <c r="C43" s="60">
        <v>0</v>
      </c>
      <c r="D43" s="60">
        <v>0</v>
      </c>
      <c r="E43" s="60">
        <v>0</v>
      </c>
      <c r="F43" s="60">
        <f>SUM(F44)</f>
        <v>8490774</v>
      </c>
      <c r="G43" s="60">
        <f>SUM(G44)</f>
        <v>8344120</v>
      </c>
      <c r="H43" s="60">
        <v>0</v>
      </c>
      <c r="I43" s="60">
        <v>0</v>
      </c>
      <c r="J43" s="60">
        <v>146654</v>
      </c>
      <c r="K43" s="60">
        <v>0</v>
      </c>
      <c r="L43" s="60"/>
      <c r="M43" s="61">
        <f t="shared" si="0"/>
        <v>8490774</v>
      </c>
    </row>
    <row r="44" spans="1:13" ht="33">
      <c r="A44" s="69"/>
      <c r="B44" s="59" t="s">
        <v>803</v>
      </c>
      <c r="C44" s="60"/>
      <c r="D44" s="60"/>
      <c r="E44" s="60"/>
      <c r="F44" s="60">
        <f>SUM(G44+J44)</f>
        <v>8490774</v>
      </c>
      <c r="G44" s="60">
        <f>8384120-30000-10000</f>
        <v>8344120</v>
      </c>
      <c r="H44" s="60">
        <v>0</v>
      </c>
      <c r="I44" s="60">
        <v>0</v>
      </c>
      <c r="J44" s="60">
        <v>146654</v>
      </c>
      <c r="K44" s="60"/>
      <c r="L44" s="60"/>
      <c r="M44" s="61">
        <f>SUM(F44)</f>
        <v>8490774</v>
      </c>
    </row>
    <row r="45" spans="1:13" ht="194.25" customHeight="1">
      <c r="A45" s="100">
        <v>250337</v>
      </c>
      <c r="B45" s="59" t="s">
        <v>117</v>
      </c>
      <c r="C45" s="60">
        <v>500000</v>
      </c>
      <c r="D45" s="60"/>
      <c r="E45" s="60"/>
      <c r="F45" s="60"/>
      <c r="G45" s="60"/>
      <c r="H45" s="60"/>
      <c r="I45" s="60"/>
      <c r="J45" s="60"/>
      <c r="K45" s="60"/>
      <c r="L45" s="60"/>
      <c r="M45" s="61">
        <f>SUM(C45)</f>
        <v>500000</v>
      </c>
    </row>
    <row r="46" spans="1:13" ht="33">
      <c r="A46" s="100">
        <v>250404</v>
      </c>
      <c r="B46" s="59" t="s">
        <v>760</v>
      </c>
      <c r="C46" s="60">
        <v>267569.26</v>
      </c>
      <c r="D46" s="60"/>
      <c r="E46" s="60">
        <v>267569.26</v>
      </c>
      <c r="F46" s="60"/>
      <c r="G46" s="60"/>
      <c r="H46" s="60"/>
      <c r="I46" s="60"/>
      <c r="J46" s="60"/>
      <c r="K46" s="60"/>
      <c r="L46" s="60"/>
      <c r="M46" s="61">
        <f>SUM(C46)</f>
        <v>267569.26</v>
      </c>
    </row>
    <row r="47" spans="1:13" ht="33">
      <c r="A47" s="55">
        <v>11</v>
      </c>
      <c r="B47" s="56" t="s">
        <v>146</v>
      </c>
      <c r="C47" s="57">
        <f>SUM(C48+C49+C50+C51+C52+C53+C55+C60)</f>
        <v>13613007.2</v>
      </c>
      <c r="D47" s="57">
        <f>SUM(D48+D49+D50+D51+D52+D53+D58)</f>
        <v>9265672</v>
      </c>
      <c r="E47" s="57">
        <f>SUM(E48+E49+E50+E51+E52+E53+E58+E60)</f>
        <v>364540</v>
      </c>
      <c r="F47" s="57">
        <f>F51+F54+F58</f>
        <v>550960</v>
      </c>
      <c r="G47" s="57">
        <f>SUM(G51+G58)</f>
        <v>271060</v>
      </c>
      <c r="H47" s="57">
        <v>0</v>
      </c>
      <c r="I47" s="57">
        <v>24700</v>
      </c>
      <c r="J47" s="57">
        <f>SUM(J54)</f>
        <v>279900</v>
      </c>
      <c r="K47" s="57">
        <f>SUM(K54)</f>
        <v>279900</v>
      </c>
      <c r="L47" s="57"/>
      <c r="M47" s="57">
        <f t="shared" si="0"/>
        <v>14163967.2</v>
      </c>
    </row>
    <row r="48" spans="1:13" ht="16.5">
      <c r="A48" s="58" t="s">
        <v>274</v>
      </c>
      <c r="B48" s="59" t="s">
        <v>497</v>
      </c>
      <c r="C48" s="60">
        <f>1876213+416604+120000+14000+147607</f>
        <v>2574424</v>
      </c>
      <c r="D48" s="60">
        <f>1337600+305652+121939+33000</f>
        <v>1798191</v>
      </c>
      <c r="E48" s="60">
        <f>28120+14000</f>
        <v>42120</v>
      </c>
      <c r="F48" s="60">
        <v>0</v>
      </c>
      <c r="G48" s="60">
        <v>0</v>
      </c>
      <c r="H48" s="60">
        <v>0</v>
      </c>
      <c r="I48" s="60">
        <v>0</v>
      </c>
      <c r="J48" s="60">
        <v>0</v>
      </c>
      <c r="K48" s="60">
        <v>0</v>
      </c>
      <c r="L48" s="60"/>
      <c r="M48" s="61">
        <f t="shared" si="0"/>
        <v>2574424</v>
      </c>
    </row>
    <row r="49" spans="1:13" ht="33">
      <c r="A49" s="58" t="s">
        <v>289</v>
      </c>
      <c r="B49" s="59" t="s">
        <v>453</v>
      </c>
      <c r="C49" s="60">
        <f>4120004+1908800+8000-249509</f>
        <v>5787295</v>
      </c>
      <c r="D49" s="60">
        <f>2982240+1478000-227499</f>
        <v>4232741</v>
      </c>
      <c r="E49" s="60">
        <f>38380+8000</f>
        <v>46380</v>
      </c>
      <c r="F49" s="60">
        <v>0</v>
      </c>
      <c r="G49" s="60">
        <v>0</v>
      </c>
      <c r="H49" s="60">
        <v>0</v>
      </c>
      <c r="I49" s="60">
        <v>0</v>
      </c>
      <c r="J49" s="60">
        <v>0</v>
      </c>
      <c r="K49" s="60">
        <v>0</v>
      </c>
      <c r="L49" s="60"/>
      <c r="M49" s="61">
        <f t="shared" si="0"/>
        <v>5787295</v>
      </c>
    </row>
    <row r="50" spans="1:13" ht="49.5">
      <c r="A50" s="58" t="s">
        <v>290</v>
      </c>
      <c r="B50" s="59" t="s">
        <v>949</v>
      </c>
      <c r="C50" s="60">
        <f>259399-120000</f>
        <v>139399</v>
      </c>
      <c r="D50" s="60">
        <v>0</v>
      </c>
      <c r="E50" s="60">
        <v>0</v>
      </c>
      <c r="F50" s="60">
        <v>0</v>
      </c>
      <c r="G50" s="60">
        <v>0</v>
      </c>
      <c r="H50" s="60">
        <v>0</v>
      </c>
      <c r="I50" s="60">
        <v>0</v>
      </c>
      <c r="J50" s="60">
        <v>0</v>
      </c>
      <c r="K50" s="60">
        <v>0</v>
      </c>
      <c r="L50" s="60"/>
      <c r="M50" s="61">
        <f t="shared" si="0"/>
        <v>139399</v>
      </c>
    </row>
    <row r="51" spans="1:13" ht="33">
      <c r="A51" s="58" t="s">
        <v>291</v>
      </c>
      <c r="B51" s="59" t="s">
        <v>144</v>
      </c>
      <c r="C51" s="60">
        <f>3065214+1614500</f>
        <v>4679714</v>
      </c>
      <c r="D51" s="60">
        <f>2047440+1187300</f>
        <v>3234740</v>
      </c>
      <c r="E51" s="60">
        <v>240540</v>
      </c>
      <c r="F51" s="60">
        <v>83600</v>
      </c>
      <c r="G51" s="60">
        <v>83600</v>
      </c>
      <c r="H51" s="60">
        <v>0</v>
      </c>
      <c r="I51" s="60">
        <v>24700</v>
      </c>
      <c r="J51" s="60">
        <v>0</v>
      </c>
      <c r="K51" s="60">
        <v>0</v>
      </c>
      <c r="L51" s="60"/>
      <c r="M51" s="61">
        <f t="shared" si="0"/>
        <v>4763314</v>
      </c>
    </row>
    <row r="52" spans="1:13" ht="16.5">
      <c r="A52" s="58" t="s">
        <v>292</v>
      </c>
      <c r="B52" s="59" t="s">
        <v>591</v>
      </c>
      <c r="C52" s="60">
        <f>176320-24000</f>
        <v>152320</v>
      </c>
      <c r="D52" s="60">
        <v>0</v>
      </c>
      <c r="E52" s="60">
        <v>0</v>
      </c>
      <c r="F52" s="60">
        <v>0</v>
      </c>
      <c r="G52" s="60">
        <v>0</v>
      </c>
      <c r="H52" s="60">
        <v>0</v>
      </c>
      <c r="I52" s="60">
        <v>0</v>
      </c>
      <c r="J52" s="60">
        <v>0</v>
      </c>
      <c r="K52" s="60">
        <v>0</v>
      </c>
      <c r="L52" s="60"/>
      <c r="M52" s="61">
        <f t="shared" si="0"/>
        <v>152320</v>
      </c>
    </row>
    <row r="53" spans="1:13" ht="107.25" customHeight="1">
      <c r="A53" s="58" t="s">
        <v>285</v>
      </c>
      <c r="B53" s="59" t="s">
        <v>765</v>
      </c>
      <c r="C53" s="60">
        <f>380000-380000</f>
        <v>0</v>
      </c>
      <c r="D53" s="60">
        <v>0</v>
      </c>
      <c r="E53" s="60">
        <v>0</v>
      </c>
      <c r="F53" s="60">
        <v>0</v>
      </c>
      <c r="G53" s="60">
        <v>0</v>
      </c>
      <c r="H53" s="60">
        <v>0</v>
      </c>
      <c r="I53" s="60">
        <v>0</v>
      </c>
      <c r="J53" s="60">
        <v>0</v>
      </c>
      <c r="K53" s="60">
        <v>0</v>
      </c>
      <c r="L53" s="60"/>
      <c r="M53" s="61">
        <f t="shared" si="0"/>
        <v>0</v>
      </c>
    </row>
    <row r="54" spans="1:13" ht="55.5" customHeight="1">
      <c r="A54" s="73">
        <v>150101</v>
      </c>
      <c r="B54" s="59" t="s">
        <v>572</v>
      </c>
      <c r="C54" s="60"/>
      <c r="D54" s="60"/>
      <c r="E54" s="60"/>
      <c r="F54" s="60">
        <f>SUM(J54)</f>
        <v>279900</v>
      </c>
      <c r="G54" s="60"/>
      <c r="H54" s="60"/>
      <c r="I54" s="60"/>
      <c r="J54" s="60">
        <v>279900</v>
      </c>
      <c r="K54" s="60">
        <v>279900</v>
      </c>
      <c r="L54" s="60"/>
      <c r="M54" s="61">
        <f>SUM(F54)</f>
        <v>279900</v>
      </c>
    </row>
    <row r="55" spans="1:13" ht="49.5">
      <c r="A55" s="58" t="s">
        <v>275</v>
      </c>
      <c r="B55" s="59" t="s">
        <v>839</v>
      </c>
      <c r="C55" s="60">
        <f>SUM(C56+C57)</f>
        <v>244355.2</v>
      </c>
      <c r="D55" s="60">
        <v>0</v>
      </c>
      <c r="E55" s="60">
        <v>0</v>
      </c>
      <c r="F55" s="60">
        <v>0</v>
      </c>
      <c r="G55" s="60">
        <v>0</v>
      </c>
      <c r="H55" s="60">
        <v>0</v>
      </c>
      <c r="I55" s="60">
        <v>0</v>
      </c>
      <c r="J55" s="60">
        <v>0</v>
      </c>
      <c r="K55" s="60">
        <v>0</v>
      </c>
      <c r="L55" s="60"/>
      <c r="M55" s="61">
        <f t="shared" si="0"/>
        <v>244355.2</v>
      </c>
    </row>
    <row r="56" spans="1:13" ht="33">
      <c r="A56" s="58"/>
      <c r="B56" s="59" t="s">
        <v>618</v>
      </c>
      <c r="C56" s="60">
        <f>345420-105500</f>
        <v>239920</v>
      </c>
      <c r="D56" s="60"/>
      <c r="E56" s="60"/>
      <c r="F56" s="60"/>
      <c r="G56" s="60"/>
      <c r="H56" s="60"/>
      <c r="I56" s="60"/>
      <c r="J56" s="60"/>
      <c r="K56" s="60"/>
      <c r="L56" s="60"/>
      <c r="M56" s="61">
        <v>345420</v>
      </c>
    </row>
    <row r="57" spans="1:13" ht="114" customHeight="1">
      <c r="A57" s="58"/>
      <c r="B57" s="59" t="s">
        <v>34</v>
      </c>
      <c r="C57" s="60">
        <v>4435.2</v>
      </c>
      <c r="D57" s="60"/>
      <c r="E57" s="60"/>
      <c r="F57" s="60"/>
      <c r="G57" s="60"/>
      <c r="H57" s="60"/>
      <c r="I57" s="60"/>
      <c r="J57" s="60"/>
      <c r="K57" s="60"/>
      <c r="L57" s="60"/>
      <c r="M57" s="61">
        <f t="shared" si="0"/>
        <v>4435.2</v>
      </c>
    </row>
    <row r="58" spans="1:13" ht="66">
      <c r="A58" s="58" t="s">
        <v>276</v>
      </c>
      <c r="B58" s="59" t="s">
        <v>189</v>
      </c>
      <c r="C58" s="60">
        <v>0</v>
      </c>
      <c r="D58" s="60">
        <v>0</v>
      </c>
      <c r="E58" s="60">
        <v>0</v>
      </c>
      <c r="F58" s="60">
        <f>SUM(F59)</f>
        <v>187460</v>
      </c>
      <c r="G58" s="60">
        <f>SUM(G59)</f>
        <v>187460</v>
      </c>
      <c r="H58" s="60">
        <v>0</v>
      </c>
      <c r="I58" s="60">
        <v>0</v>
      </c>
      <c r="J58" s="60">
        <v>0</v>
      </c>
      <c r="K58" s="60">
        <v>0</v>
      </c>
      <c r="L58" s="60"/>
      <c r="M58" s="61">
        <f t="shared" si="0"/>
        <v>187460</v>
      </c>
    </row>
    <row r="59" spans="1:13" ht="33">
      <c r="A59" s="69"/>
      <c r="B59" s="59" t="s">
        <v>803</v>
      </c>
      <c r="C59" s="60"/>
      <c r="D59" s="60"/>
      <c r="E59" s="60"/>
      <c r="F59" s="60">
        <f>SUM(G59)</f>
        <v>187460</v>
      </c>
      <c r="G59" s="60">
        <f>177460+10000</f>
        <v>187460</v>
      </c>
      <c r="H59" s="60"/>
      <c r="I59" s="60"/>
      <c r="J59" s="60"/>
      <c r="K59" s="60"/>
      <c r="L59" s="60"/>
      <c r="M59" s="61">
        <f>SUM(F59)</f>
        <v>187460</v>
      </c>
    </row>
    <row r="60" spans="1:13" ht="33">
      <c r="A60" s="100">
        <v>250404</v>
      </c>
      <c r="B60" s="59" t="s">
        <v>760</v>
      </c>
      <c r="C60" s="60">
        <v>35500</v>
      </c>
      <c r="D60" s="60"/>
      <c r="E60" s="60">
        <v>35500</v>
      </c>
      <c r="F60" s="60"/>
      <c r="G60" s="60"/>
      <c r="H60" s="60"/>
      <c r="I60" s="60"/>
      <c r="J60" s="60"/>
      <c r="K60" s="60"/>
      <c r="L60" s="60"/>
      <c r="M60" s="61">
        <f>SUM(C60)</f>
        <v>35500</v>
      </c>
    </row>
    <row r="61" spans="1:13" ht="49.5">
      <c r="A61" s="55">
        <v>13</v>
      </c>
      <c r="B61" s="56" t="s">
        <v>838</v>
      </c>
      <c r="C61" s="57">
        <f>SUM(C62+C63+C66+C67+C69+C74)</f>
        <v>16987022.2</v>
      </c>
      <c r="D61" s="57">
        <f>SUM(D62+D66)</f>
        <v>6571479</v>
      </c>
      <c r="E61" s="57">
        <f>SUM(E62+E66+E74)</f>
        <v>484538</v>
      </c>
      <c r="F61" s="57">
        <f>SUM(F68+F71+F73)</f>
        <v>12524112</v>
      </c>
      <c r="G61" s="57">
        <f>SUM(G71)</f>
        <v>660512</v>
      </c>
      <c r="H61" s="57">
        <v>0</v>
      </c>
      <c r="I61" s="57">
        <v>0</v>
      </c>
      <c r="J61" s="57">
        <f>SUM(J68+J71+J73)</f>
        <v>11863600</v>
      </c>
      <c r="K61" s="57">
        <f>SUM(K68+K73)</f>
        <v>11850300</v>
      </c>
      <c r="L61" s="57">
        <f>SUM(L73)</f>
        <v>8000000</v>
      </c>
      <c r="M61" s="57">
        <f t="shared" si="0"/>
        <v>29511134.2</v>
      </c>
    </row>
    <row r="62" spans="1:13" ht="16.5">
      <c r="A62" s="58" t="s">
        <v>274</v>
      </c>
      <c r="B62" s="59" t="s">
        <v>497</v>
      </c>
      <c r="C62" s="60">
        <f>1388377+355714+6830</f>
        <v>1750921</v>
      </c>
      <c r="D62" s="60">
        <f>973180+260979+30000+26000</f>
        <v>1290159</v>
      </c>
      <c r="E62" s="60">
        <v>34580</v>
      </c>
      <c r="F62" s="60">
        <v>0</v>
      </c>
      <c r="G62" s="60">
        <v>0</v>
      </c>
      <c r="H62" s="60">
        <v>0</v>
      </c>
      <c r="I62" s="60">
        <v>0</v>
      </c>
      <c r="J62" s="60">
        <v>0</v>
      </c>
      <c r="K62" s="60">
        <v>0</v>
      </c>
      <c r="L62" s="60"/>
      <c r="M62" s="61">
        <f t="shared" si="0"/>
        <v>1750921</v>
      </c>
    </row>
    <row r="63" spans="1:13" ht="33">
      <c r="A63" s="58" t="s">
        <v>293</v>
      </c>
      <c r="B63" s="59" t="s">
        <v>191</v>
      </c>
      <c r="C63" s="60">
        <f>SUM(C64:C65)</f>
        <v>4015445</v>
      </c>
      <c r="D63" s="60">
        <v>0</v>
      </c>
      <c r="E63" s="60">
        <v>0</v>
      </c>
      <c r="F63" s="60">
        <v>0</v>
      </c>
      <c r="G63" s="60">
        <v>0</v>
      </c>
      <c r="H63" s="60">
        <v>0</v>
      </c>
      <c r="I63" s="60">
        <v>0</v>
      </c>
      <c r="J63" s="60">
        <v>0</v>
      </c>
      <c r="K63" s="60">
        <v>0</v>
      </c>
      <c r="L63" s="60"/>
      <c r="M63" s="61">
        <f t="shared" si="0"/>
        <v>4015445</v>
      </c>
    </row>
    <row r="64" spans="1:13" ht="16.5">
      <c r="A64" s="58"/>
      <c r="B64" s="59" t="s">
        <v>494</v>
      </c>
      <c r="C64" s="60">
        <f>3576940+168049-170000</f>
        <v>3574989</v>
      </c>
      <c r="D64" s="60"/>
      <c r="E64" s="60"/>
      <c r="F64" s="60"/>
      <c r="G64" s="60"/>
      <c r="H64" s="60"/>
      <c r="I64" s="60"/>
      <c r="J64" s="60"/>
      <c r="K64" s="60"/>
      <c r="L64" s="60"/>
      <c r="M64" s="61">
        <f>SUM(C64)</f>
        <v>3574989</v>
      </c>
    </row>
    <row r="65" spans="1:13" ht="16.5">
      <c r="A65" s="58"/>
      <c r="B65" s="59" t="s">
        <v>145</v>
      </c>
      <c r="C65" s="60">
        <f>590456-150000</f>
        <v>440456</v>
      </c>
      <c r="D65" s="60"/>
      <c r="E65" s="60"/>
      <c r="F65" s="60"/>
      <c r="G65" s="60"/>
      <c r="H65" s="60"/>
      <c r="I65" s="60"/>
      <c r="J65" s="60"/>
      <c r="K65" s="60"/>
      <c r="L65" s="60"/>
      <c r="M65" s="61">
        <f>SUM(C65)</f>
        <v>440456</v>
      </c>
    </row>
    <row r="66" spans="1:13" ht="33">
      <c r="A66" s="58" t="s">
        <v>286</v>
      </c>
      <c r="B66" s="59" t="s">
        <v>804</v>
      </c>
      <c r="C66" s="60">
        <f>4731892+3011400</f>
        <v>7743292</v>
      </c>
      <c r="D66" s="60">
        <f>3071920+2209400</f>
        <v>5281320</v>
      </c>
      <c r="E66" s="60">
        <f>402420+47500</f>
        <v>449920</v>
      </c>
      <c r="F66" s="60">
        <v>0</v>
      </c>
      <c r="G66" s="60">
        <v>0</v>
      </c>
      <c r="H66" s="60">
        <v>0</v>
      </c>
      <c r="I66" s="60">
        <v>0</v>
      </c>
      <c r="J66" s="60">
        <v>0</v>
      </c>
      <c r="K66" s="60">
        <v>0</v>
      </c>
      <c r="L66" s="60"/>
      <c r="M66" s="61">
        <f t="shared" si="0"/>
        <v>7743292</v>
      </c>
    </row>
    <row r="67" spans="1:13" ht="33">
      <c r="A67" s="58" t="s">
        <v>294</v>
      </c>
      <c r="B67" s="59" t="s">
        <v>928</v>
      </c>
      <c r="C67" s="60">
        <f>2585900+27491+775000+84500</f>
        <v>3472891</v>
      </c>
      <c r="D67" s="60">
        <v>0</v>
      </c>
      <c r="E67" s="60">
        <v>0</v>
      </c>
      <c r="F67" s="60">
        <v>0</v>
      </c>
      <c r="G67" s="60">
        <v>0</v>
      </c>
      <c r="H67" s="60">
        <v>0</v>
      </c>
      <c r="I67" s="60">
        <v>0</v>
      </c>
      <c r="J67" s="60">
        <v>0</v>
      </c>
      <c r="K67" s="60">
        <v>0</v>
      </c>
      <c r="L67" s="60"/>
      <c r="M67" s="61">
        <f t="shared" si="0"/>
        <v>3472891</v>
      </c>
    </row>
    <row r="68" spans="1:13" ht="16.5">
      <c r="A68" s="58" t="s">
        <v>321</v>
      </c>
      <c r="B68" s="59" t="s">
        <v>572</v>
      </c>
      <c r="C68" s="60">
        <v>0</v>
      </c>
      <c r="D68" s="60">
        <v>0</v>
      </c>
      <c r="E68" s="60">
        <v>0</v>
      </c>
      <c r="F68" s="60">
        <f>SUM(J68)</f>
        <v>3850300</v>
      </c>
      <c r="G68" s="60">
        <v>0</v>
      </c>
      <c r="H68" s="60">
        <v>0</v>
      </c>
      <c r="I68" s="60">
        <v>0</v>
      </c>
      <c r="J68" s="60">
        <f>3450400+399900</f>
        <v>3850300</v>
      </c>
      <c r="K68" s="60">
        <f>3450400+399900</f>
        <v>3850300</v>
      </c>
      <c r="L68" s="60"/>
      <c r="M68" s="61">
        <f t="shared" si="0"/>
        <v>3850300</v>
      </c>
    </row>
    <row r="69" spans="1:13" ht="44.25" customHeight="1">
      <c r="A69" s="73">
        <v>180410</v>
      </c>
      <c r="B69" s="59" t="s">
        <v>454</v>
      </c>
      <c r="C69" s="60">
        <f>SUM(C70)</f>
        <v>4435.2</v>
      </c>
      <c r="D69" s="60"/>
      <c r="E69" s="60"/>
      <c r="F69" s="60"/>
      <c r="G69" s="60"/>
      <c r="H69" s="60"/>
      <c r="I69" s="60"/>
      <c r="J69" s="60"/>
      <c r="K69" s="60"/>
      <c r="L69" s="60"/>
      <c r="M69" s="61">
        <f>SUM(M70)</f>
        <v>4435.2</v>
      </c>
    </row>
    <row r="70" spans="1:13" ht="111.75" customHeight="1">
      <c r="A70" s="73"/>
      <c r="B70" s="59" t="s">
        <v>34</v>
      </c>
      <c r="C70" s="60">
        <v>4435.2</v>
      </c>
      <c r="D70" s="60"/>
      <c r="E70" s="60"/>
      <c r="F70" s="60"/>
      <c r="G70" s="60"/>
      <c r="H70" s="60"/>
      <c r="I70" s="60"/>
      <c r="J70" s="60"/>
      <c r="K70" s="60"/>
      <c r="L70" s="60"/>
      <c r="M70" s="61">
        <f t="shared" si="0"/>
        <v>4435.2</v>
      </c>
    </row>
    <row r="71" spans="1:13" ht="66">
      <c r="A71" s="58" t="s">
        <v>276</v>
      </c>
      <c r="B71" s="59" t="s">
        <v>189</v>
      </c>
      <c r="C71" s="60">
        <v>0</v>
      </c>
      <c r="D71" s="60">
        <v>0</v>
      </c>
      <c r="E71" s="60">
        <v>0</v>
      </c>
      <c r="F71" s="60">
        <f>SUM(F72)</f>
        <v>673812</v>
      </c>
      <c r="G71" s="60">
        <f>SUM(G72)</f>
        <v>660512</v>
      </c>
      <c r="H71" s="60">
        <v>0</v>
      </c>
      <c r="I71" s="60">
        <v>0</v>
      </c>
      <c r="J71" s="60">
        <v>13300</v>
      </c>
      <c r="K71" s="60">
        <v>0</v>
      </c>
      <c r="L71" s="60"/>
      <c r="M71" s="61">
        <f t="shared" si="0"/>
        <v>673812</v>
      </c>
    </row>
    <row r="72" spans="1:13" ht="33">
      <c r="A72" s="69"/>
      <c r="B72" s="59" t="s">
        <v>803</v>
      </c>
      <c r="C72" s="60"/>
      <c r="D72" s="60"/>
      <c r="E72" s="60"/>
      <c r="F72" s="60">
        <f>SUM(G72+J72)</f>
        <v>673812</v>
      </c>
      <c r="G72" s="60">
        <f>645320+30192-15000</f>
        <v>660512</v>
      </c>
      <c r="H72" s="60">
        <v>0</v>
      </c>
      <c r="I72" s="60">
        <v>0</v>
      </c>
      <c r="J72" s="60">
        <v>13300</v>
      </c>
      <c r="K72" s="60"/>
      <c r="L72" s="60"/>
      <c r="M72" s="61">
        <f>SUM(F72)</f>
        <v>673812</v>
      </c>
    </row>
    <row r="73" spans="1:13" ht="157.5">
      <c r="A73" s="100">
        <v>250359</v>
      </c>
      <c r="B73" s="104" t="s">
        <v>271</v>
      </c>
      <c r="C73" s="60"/>
      <c r="D73" s="60"/>
      <c r="E73" s="60"/>
      <c r="F73" s="60">
        <f>G73+J73</f>
        <v>8000000</v>
      </c>
      <c r="G73" s="60"/>
      <c r="H73" s="60"/>
      <c r="I73" s="60"/>
      <c r="J73" s="60">
        <v>8000000</v>
      </c>
      <c r="K73" s="60">
        <v>8000000</v>
      </c>
      <c r="L73" s="60">
        <v>8000000</v>
      </c>
      <c r="M73" s="61">
        <f>SUM(F73)</f>
        <v>8000000</v>
      </c>
    </row>
    <row r="74" spans="1:13" ht="33">
      <c r="A74" s="100">
        <v>250404</v>
      </c>
      <c r="B74" s="59" t="s">
        <v>760</v>
      </c>
      <c r="C74" s="60">
        <v>38</v>
      </c>
      <c r="D74" s="60"/>
      <c r="E74" s="60">
        <v>38</v>
      </c>
      <c r="F74" s="60"/>
      <c r="G74" s="60"/>
      <c r="H74" s="60"/>
      <c r="I74" s="60"/>
      <c r="J74" s="60"/>
      <c r="K74" s="60"/>
      <c r="L74" s="60"/>
      <c r="M74" s="61">
        <f>SUM(C74)</f>
        <v>38</v>
      </c>
    </row>
    <row r="75" spans="1:13" ht="33">
      <c r="A75" s="55">
        <v>14</v>
      </c>
      <c r="B75" s="56" t="s">
        <v>581</v>
      </c>
      <c r="C75" s="57">
        <f>SUM(C76+C77+C101+C98+C104)</f>
        <v>604386908.1899998</v>
      </c>
      <c r="D75" s="57">
        <f>SUM(D76+D77+D101)</f>
        <v>349913526</v>
      </c>
      <c r="E75" s="57">
        <f>E76+E77+E104</f>
        <v>22151202.39</v>
      </c>
      <c r="F75" s="57">
        <f>F76+F77+F96+F102+F105</f>
        <v>33005764</v>
      </c>
      <c r="G75" s="57">
        <f>G76+G77+G102</f>
        <v>20668094</v>
      </c>
      <c r="H75" s="57">
        <v>5385249</v>
      </c>
      <c r="I75" s="57">
        <v>1065243</v>
      </c>
      <c r="J75" s="57">
        <f>J77+J96+J105</f>
        <v>12337670</v>
      </c>
      <c r="K75" s="57">
        <f>K77+K96+K105</f>
        <v>11335568</v>
      </c>
      <c r="L75" s="57">
        <f>SUM(L105)</f>
        <v>5600000</v>
      </c>
      <c r="M75" s="57">
        <f t="shared" si="0"/>
        <v>637392672.1899998</v>
      </c>
    </row>
    <row r="76" spans="1:13" ht="16.5">
      <c r="A76" s="58" t="s">
        <v>274</v>
      </c>
      <c r="B76" s="59" t="s">
        <v>497</v>
      </c>
      <c r="C76" s="60">
        <f>2134841+375903+25000+277400</f>
        <v>2813144</v>
      </c>
      <c r="D76" s="60">
        <f>1483140+275791+202300</f>
        <v>1961231</v>
      </c>
      <c r="E76" s="60">
        <v>94241</v>
      </c>
      <c r="F76" s="60">
        <v>0</v>
      </c>
      <c r="G76" s="60">
        <v>0</v>
      </c>
      <c r="H76" s="60">
        <v>0</v>
      </c>
      <c r="I76" s="60">
        <v>0</v>
      </c>
      <c r="J76" s="60">
        <v>0</v>
      </c>
      <c r="K76" s="60">
        <v>0</v>
      </c>
      <c r="L76" s="60"/>
      <c r="M76" s="61">
        <f t="shared" si="0"/>
        <v>2813144</v>
      </c>
    </row>
    <row r="77" spans="1:13" ht="16.5">
      <c r="A77" s="65" t="s">
        <v>809</v>
      </c>
      <c r="B77" s="59" t="s">
        <v>799</v>
      </c>
      <c r="C77" s="66">
        <f>SUM(C78+C80+C82+C84+C85+C86+C89+C90+C92+C93+C94+C95)</f>
        <v>601332336.9999999</v>
      </c>
      <c r="D77" s="66">
        <f>SUM(D78+D80+D82+D84+D85+D86+D89+D90+D92+D93+D95)</f>
        <v>347952295</v>
      </c>
      <c r="E77" s="66">
        <f>SUM(E78+E80+E82+E84+E85+E86+E89+E90+E92+E93+E95)</f>
        <v>21916851</v>
      </c>
      <c r="F77" s="66">
        <v>19998982</v>
      </c>
      <c r="G77" s="66">
        <f>G78+G80+G82+G86+G90</f>
        <v>16657600</v>
      </c>
      <c r="H77" s="66">
        <v>5385249</v>
      </c>
      <c r="I77" s="66">
        <v>1065243</v>
      </c>
      <c r="J77" s="66">
        <f>SUM(J78+J80+J82+J86)</f>
        <v>3341382</v>
      </c>
      <c r="K77" s="66">
        <f>K82</f>
        <v>2339280</v>
      </c>
      <c r="L77" s="66"/>
      <c r="M77" s="67">
        <f t="shared" si="0"/>
        <v>621331318.9999999</v>
      </c>
    </row>
    <row r="78" spans="1:13" ht="16.5">
      <c r="A78" s="58" t="s">
        <v>810</v>
      </c>
      <c r="B78" s="59" t="s">
        <v>299</v>
      </c>
      <c r="C78" s="60">
        <f>140571120+51337400-7014700+78953000+60000-2701813-375700+1816846-1040300-1200000+446307-4991087</f>
        <v>255861073</v>
      </c>
      <c r="D78" s="60">
        <f>88934820-300000-5150294+58116300-768300-3442710</f>
        <v>137389816</v>
      </c>
      <c r="E78" s="60">
        <f>11813820-1200000</f>
        <v>10613820</v>
      </c>
      <c r="F78" s="60">
        <v>8359240</v>
      </c>
      <c r="G78" s="60">
        <v>8065458</v>
      </c>
      <c r="H78" s="60">
        <v>2953249</v>
      </c>
      <c r="I78" s="60">
        <v>528683</v>
      </c>
      <c r="J78" s="60">
        <v>293782</v>
      </c>
      <c r="K78" s="60">
        <v>0</v>
      </c>
      <c r="L78" s="60"/>
      <c r="M78" s="61">
        <f t="shared" si="0"/>
        <v>264220313</v>
      </c>
    </row>
    <row r="79" spans="1:13" ht="66">
      <c r="A79" s="58"/>
      <c r="B79" s="70" t="s">
        <v>9</v>
      </c>
      <c r="C79" s="60">
        <f>51337400-375700</f>
        <v>50961700</v>
      </c>
      <c r="D79" s="60"/>
      <c r="E79" s="60"/>
      <c r="F79" s="60"/>
      <c r="G79" s="60"/>
      <c r="H79" s="60"/>
      <c r="I79" s="60"/>
      <c r="J79" s="60"/>
      <c r="K79" s="60"/>
      <c r="L79" s="60"/>
      <c r="M79" s="61">
        <f t="shared" si="0"/>
        <v>50961700</v>
      </c>
    </row>
    <row r="80" spans="1:13" ht="16.5">
      <c r="A80" s="58" t="s">
        <v>811</v>
      </c>
      <c r="B80" s="59" t="s">
        <v>322</v>
      </c>
      <c r="C80" s="60">
        <f>63563741+7174700+14276100+44375200-375187+812400-160000+1043753+481526</f>
        <v>131192233</v>
      </c>
      <c r="D80" s="60">
        <f>42258280+5263903+32630000</f>
        <v>80152183</v>
      </c>
      <c r="E80" s="60">
        <f>4535300+883753</f>
        <v>5419053</v>
      </c>
      <c r="F80" s="60">
        <v>6334600</v>
      </c>
      <c r="G80" s="60">
        <v>5764600</v>
      </c>
      <c r="H80" s="60">
        <v>1520000</v>
      </c>
      <c r="I80" s="60">
        <v>95000</v>
      </c>
      <c r="J80" s="60">
        <v>570000</v>
      </c>
      <c r="K80" s="60">
        <v>0</v>
      </c>
      <c r="L80" s="60"/>
      <c r="M80" s="61">
        <f t="shared" si="0"/>
        <v>137526833</v>
      </c>
    </row>
    <row r="81" spans="1:13" ht="66">
      <c r="A81" s="58"/>
      <c r="B81" s="70" t="s">
        <v>9</v>
      </c>
      <c r="C81" s="60">
        <v>14276100</v>
      </c>
      <c r="D81" s="60"/>
      <c r="E81" s="60"/>
      <c r="F81" s="60"/>
      <c r="G81" s="60"/>
      <c r="H81" s="60"/>
      <c r="I81" s="60"/>
      <c r="J81" s="60"/>
      <c r="K81" s="60"/>
      <c r="L81" s="60"/>
      <c r="M81" s="61">
        <f t="shared" si="0"/>
        <v>14276100</v>
      </c>
    </row>
    <row r="82" spans="1:13" ht="16.5">
      <c r="A82" s="58" t="s">
        <v>812</v>
      </c>
      <c r="B82" s="71" t="s">
        <v>937</v>
      </c>
      <c r="C82" s="60">
        <f>38194940+10406300+26071493+156600+3497900-85000+407700+154800</f>
        <v>78804733</v>
      </c>
      <c r="D82" s="60">
        <f>24917360+19156133+2625400</f>
        <v>46698893</v>
      </c>
      <c r="E82" s="60">
        <f>3609620-85000+231000</f>
        <v>3755620</v>
      </c>
      <c r="F82" s="60">
        <v>3099280</v>
      </c>
      <c r="G82" s="60">
        <v>760000</v>
      </c>
      <c r="H82" s="60">
        <v>380000</v>
      </c>
      <c r="I82" s="60">
        <v>41800</v>
      </c>
      <c r="J82" s="60">
        <v>2339280</v>
      </c>
      <c r="K82" s="60">
        <v>2339280</v>
      </c>
      <c r="L82" s="60"/>
      <c r="M82" s="61">
        <f t="shared" si="0"/>
        <v>81904013</v>
      </c>
    </row>
    <row r="83" spans="1:13" ht="66">
      <c r="A83" s="58"/>
      <c r="B83" s="70" t="s">
        <v>9</v>
      </c>
      <c r="C83" s="60">
        <v>10406300</v>
      </c>
      <c r="D83" s="60"/>
      <c r="E83" s="60"/>
      <c r="F83" s="60"/>
      <c r="G83" s="60"/>
      <c r="H83" s="60"/>
      <c r="I83" s="60"/>
      <c r="J83" s="60"/>
      <c r="K83" s="60"/>
      <c r="L83" s="60"/>
      <c r="M83" s="61">
        <f t="shared" si="0"/>
        <v>10406300</v>
      </c>
    </row>
    <row r="84" spans="1:13" ht="33">
      <c r="A84" s="58" t="s">
        <v>813</v>
      </c>
      <c r="B84" s="59" t="s">
        <v>801</v>
      </c>
      <c r="C84" s="60">
        <f>2514460+600000+300000+308755.44</f>
        <v>3723215.44</v>
      </c>
      <c r="D84" s="60">
        <v>0</v>
      </c>
      <c r="E84" s="60">
        <v>0</v>
      </c>
      <c r="F84" s="60">
        <v>0</v>
      </c>
      <c r="G84" s="60">
        <v>0</v>
      </c>
      <c r="H84" s="60">
        <v>0</v>
      </c>
      <c r="I84" s="60">
        <v>0</v>
      </c>
      <c r="J84" s="60">
        <v>0</v>
      </c>
      <c r="K84" s="60">
        <v>0</v>
      </c>
      <c r="L84" s="60"/>
      <c r="M84" s="61">
        <f t="shared" si="0"/>
        <v>3723215.44</v>
      </c>
    </row>
    <row r="85" spans="1:13" ht="33">
      <c r="A85" s="58" t="s">
        <v>814</v>
      </c>
      <c r="B85" s="59" t="s">
        <v>574</v>
      </c>
      <c r="C85" s="60">
        <f>780516+647200+10000-318900+74216.19</f>
        <v>1193032.19</v>
      </c>
      <c r="D85" s="60">
        <f>527440+474800-234000+54578.1</f>
        <v>822818.1</v>
      </c>
      <c r="E85" s="60">
        <v>46356</v>
      </c>
      <c r="F85" s="60">
        <v>0</v>
      </c>
      <c r="G85" s="60">
        <v>0</v>
      </c>
      <c r="H85" s="60">
        <v>0</v>
      </c>
      <c r="I85" s="60">
        <v>0</v>
      </c>
      <c r="J85" s="60">
        <v>0</v>
      </c>
      <c r="K85" s="60">
        <v>0</v>
      </c>
      <c r="L85" s="60"/>
      <c r="M85" s="61">
        <f t="shared" si="0"/>
        <v>1193032.19</v>
      </c>
    </row>
    <row r="86" spans="1:13" ht="33">
      <c r="A86" s="58" t="s">
        <v>243</v>
      </c>
      <c r="B86" s="59" t="s">
        <v>300</v>
      </c>
      <c r="C86" s="60">
        <f>52092299-7174700+3669800+56259600-44360+1057110-936463+216103+845200</f>
        <v>105984589</v>
      </c>
      <c r="D86" s="60">
        <f>33693459-5263903+41674000-113573</f>
        <v>69989983</v>
      </c>
      <c r="E86" s="60">
        <f>1998420-356000+25000</f>
        <v>1667420</v>
      </c>
      <c r="F86" s="60">
        <v>1237242</v>
      </c>
      <c r="G86" s="60">
        <v>1098922</v>
      </c>
      <c r="H86" s="60">
        <v>114000</v>
      </c>
      <c r="I86" s="60">
        <v>346560</v>
      </c>
      <c r="J86" s="60">
        <v>138320</v>
      </c>
      <c r="K86" s="60">
        <v>0</v>
      </c>
      <c r="L86" s="60"/>
      <c r="M86" s="61">
        <f>C86+F86</f>
        <v>107221831</v>
      </c>
    </row>
    <row r="87" spans="1:13" ht="92.25" customHeight="1">
      <c r="A87" s="58"/>
      <c r="B87" s="70" t="s">
        <v>6</v>
      </c>
      <c r="C87" s="60">
        <v>1853260</v>
      </c>
      <c r="D87" s="60"/>
      <c r="E87" s="60"/>
      <c r="F87" s="60"/>
      <c r="G87" s="60"/>
      <c r="H87" s="60"/>
      <c r="I87" s="60"/>
      <c r="J87" s="60"/>
      <c r="K87" s="60"/>
      <c r="L87" s="60"/>
      <c r="M87" s="61">
        <f>SUM(C87)</f>
        <v>1853260</v>
      </c>
    </row>
    <row r="88" spans="1:13" ht="66">
      <c r="A88" s="58"/>
      <c r="B88" s="70" t="s">
        <v>9</v>
      </c>
      <c r="C88" s="60">
        <v>3669800</v>
      </c>
      <c r="D88" s="60"/>
      <c r="E88" s="60"/>
      <c r="F88" s="60"/>
      <c r="G88" s="60"/>
      <c r="H88" s="60"/>
      <c r="I88" s="60"/>
      <c r="J88" s="60"/>
      <c r="K88" s="60"/>
      <c r="L88" s="60"/>
      <c r="M88" s="61">
        <f>SUM(C88)</f>
        <v>3669800</v>
      </c>
    </row>
    <row r="89" spans="1:13" ht="33.75" customHeight="1">
      <c r="A89" s="58" t="s">
        <v>815</v>
      </c>
      <c r="B89" s="59" t="s">
        <v>459</v>
      </c>
      <c r="C89" s="60">
        <f>3482283+2229300+35000-250800-114231.19</f>
        <v>5381551.81</v>
      </c>
      <c r="D89" s="60">
        <f>1679980+1651300-112400-54578.1</f>
        <v>3164301.9</v>
      </c>
      <c r="E89" s="60">
        <v>111342</v>
      </c>
      <c r="F89" s="60">
        <v>0</v>
      </c>
      <c r="G89" s="60">
        <v>0</v>
      </c>
      <c r="H89" s="60">
        <v>0</v>
      </c>
      <c r="I89" s="60">
        <v>0</v>
      </c>
      <c r="J89" s="60">
        <v>0</v>
      </c>
      <c r="K89" s="60">
        <v>0</v>
      </c>
      <c r="L89" s="60"/>
      <c r="M89" s="61">
        <f aca="true" t="shared" si="1" ref="M89:M102">C89+F89</f>
        <v>5381551.81</v>
      </c>
    </row>
    <row r="90" spans="1:13" ht="89.25" customHeight="1">
      <c r="A90" s="58" t="s">
        <v>816</v>
      </c>
      <c r="B90" s="72" t="s">
        <v>313</v>
      </c>
      <c r="C90" s="60">
        <f>9026757+3796000+7988200+182200+50000-95000-25000-2165300-147111.44</f>
        <v>18610745.56</v>
      </c>
      <c r="D90" s="60">
        <f>5447300+6000000-1713000</f>
        <v>9734300</v>
      </c>
      <c r="E90" s="60">
        <v>303240</v>
      </c>
      <c r="F90" s="60">
        <v>968620</v>
      </c>
      <c r="G90" s="60">
        <v>968620</v>
      </c>
      <c r="H90" s="60">
        <v>418000</v>
      </c>
      <c r="I90" s="60">
        <v>53200</v>
      </c>
      <c r="J90" s="60">
        <v>0</v>
      </c>
      <c r="K90" s="60">
        <v>0</v>
      </c>
      <c r="L90" s="60"/>
      <c r="M90" s="61">
        <f t="shared" si="1"/>
        <v>19579365.56</v>
      </c>
    </row>
    <row r="91" spans="1:13" ht="72" customHeight="1">
      <c r="A91" s="58"/>
      <c r="B91" s="70" t="s">
        <v>9</v>
      </c>
      <c r="C91" s="60">
        <v>3796000</v>
      </c>
      <c r="D91" s="60"/>
      <c r="E91" s="60"/>
      <c r="F91" s="60"/>
      <c r="G91" s="60"/>
      <c r="H91" s="60"/>
      <c r="I91" s="60"/>
      <c r="J91" s="60"/>
      <c r="K91" s="60"/>
      <c r="L91" s="60"/>
      <c r="M91" s="61">
        <f t="shared" si="1"/>
        <v>3796000</v>
      </c>
    </row>
    <row r="92" spans="1:13" ht="33">
      <c r="A92" s="58" t="s">
        <v>817</v>
      </c>
      <c r="B92" s="59" t="s">
        <v>924</v>
      </c>
      <c r="C92" s="60">
        <f>1435260-904154-32400</f>
        <v>498706</v>
      </c>
      <c r="D92" s="60">
        <v>0</v>
      </c>
      <c r="E92" s="60">
        <v>0</v>
      </c>
      <c r="F92" s="60">
        <v>0</v>
      </c>
      <c r="G92" s="60">
        <v>0</v>
      </c>
      <c r="H92" s="60">
        <v>0</v>
      </c>
      <c r="I92" s="60">
        <v>0</v>
      </c>
      <c r="J92" s="60">
        <v>0</v>
      </c>
      <c r="K92" s="60">
        <v>0</v>
      </c>
      <c r="L92" s="60"/>
      <c r="M92" s="61">
        <f t="shared" si="1"/>
        <v>498706</v>
      </c>
    </row>
    <row r="93" spans="1:13" ht="33">
      <c r="A93" s="58" t="s">
        <v>818</v>
      </c>
      <c r="B93" s="59" t="s">
        <v>925</v>
      </c>
      <c r="C93" s="60">
        <f>105260-37000</f>
        <v>68260</v>
      </c>
      <c r="D93" s="60">
        <v>0</v>
      </c>
      <c r="E93" s="60">
        <v>0</v>
      </c>
      <c r="F93" s="60">
        <v>0</v>
      </c>
      <c r="G93" s="60">
        <v>0</v>
      </c>
      <c r="H93" s="60">
        <v>0</v>
      </c>
      <c r="I93" s="60">
        <v>0</v>
      </c>
      <c r="J93" s="60">
        <v>0</v>
      </c>
      <c r="K93" s="60">
        <v>0</v>
      </c>
      <c r="L93" s="60"/>
      <c r="M93" s="61">
        <f t="shared" si="1"/>
        <v>68260</v>
      </c>
    </row>
    <row r="94" spans="1:13" ht="49.5">
      <c r="A94" s="58" t="s">
        <v>819</v>
      </c>
      <c r="B94" s="72" t="s">
        <v>636</v>
      </c>
      <c r="C94" s="60">
        <f>121220-121220</f>
        <v>0</v>
      </c>
      <c r="D94" s="60">
        <v>0</v>
      </c>
      <c r="E94" s="60">
        <v>0</v>
      </c>
      <c r="F94" s="60">
        <v>0</v>
      </c>
      <c r="G94" s="60">
        <v>0</v>
      </c>
      <c r="H94" s="60">
        <v>0</v>
      </c>
      <c r="I94" s="60">
        <v>0</v>
      </c>
      <c r="J94" s="60">
        <v>0</v>
      </c>
      <c r="K94" s="60">
        <v>0</v>
      </c>
      <c r="L94" s="60"/>
      <c r="M94" s="61">
        <f t="shared" si="1"/>
        <v>0</v>
      </c>
    </row>
    <row r="95" spans="1:13" ht="33">
      <c r="A95" s="58" t="s">
        <v>824</v>
      </c>
      <c r="B95" s="59" t="s">
        <v>926</v>
      </c>
      <c r="C95" s="60">
        <f>379620-365422</f>
        <v>14198</v>
      </c>
      <c r="D95" s="60">
        <v>0</v>
      </c>
      <c r="E95" s="60">
        <v>0</v>
      </c>
      <c r="F95" s="60">
        <v>0</v>
      </c>
      <c r="G95" s="60">
        <v>0</v>
      </c>
      <c r="H95" s="60">
        <v>0</v>
      </c>
      <c r="I95" s="60">
        <v>0</v>
      </c>
      <c r="J95" s="60">
        <v>0</v>
      </c>
      <c r="K95" s="60">
        <v>0</v>
      </c>
      <c r="L95" s="60"/>
      <c r="M95" s="61">
        <f t="shared" si="1"/>
        <v>14198</v>
      </c>
    </row>
    <row r="96" spans="1:13" ht="16.5">
      <c r="A96" s="58" t="s">
        <v>321</v>
      </c>
      <c r="B96" s="59" t="s">
        <v>572</v>
      </c>
      <c r="C96" s="60">
        <v>0</v>
      </c>
      <c r="D96" s="60">
        <v>0</v>
      </c>
      <c r="E96" s="60">
        <v>0</v>
      </c>
      <c r="F96" s="60">
        <f>2852588+543700</f>
        <v>3396288</v>
      </c>
      <c r="G96" s="60">
        <v>0</v>
      </c>
      <c r="H96" s="60">
        <v>0</v>
      </c>
      <c r="I96" s="60">
        <v>0</v>
      </c>
      <c r="J96" s="60">
        <f>2852588+543700</f>
        <v>3396288</v>
      </c>
      <c r="K96" s="60">
        <f>2852588+543700</f>
        <v>3396288</v>
      </c>
      <c r="L96" s="60"/>
      <c r="M96" s="61">
        <f t="shared" si="1"/>
        <v>3396288</v>
      </c>
    </row>
    <row r="97" spans="1:13" ht="105.75" customHeight="1">
      <c r="A97" s="58"/>
      <c r="B97" s="59" t="s">
        <v>934</v>
      </c>
      <c r="C97" s="60"/>
      <c r="D97" s="60"/>
      <c r="E97" s="60"/>
      <c r="F97" s="60">
        <v>543700</v>
      </c>
      <c r="G97" s="60"/>
      <c r="H97" s="60"/>
      <c r="I97" s="60"/>
      <c r="J97" s="60">
        <v>543700</v>
      </c>
      <c r="K97" s="60">
        <v>543700</v>
      </c>
      <c r="L97" s="60"/>
      <c r="M97" s="61">
        <f>SUM(F97)</f>
        <v>543700</v>
      </c>
    </row>
    <row r="98" spans="1:13" ht="63.75" customHeight="1">
      <c r="A98" s="73">
        <v>180410</v>
      </c>
      <c r="B98" s="59" t="s">
        <v>454</v>
      </c>
      <c r="C98" s="60">
        <f>SUM(C99+C100)</f>
        <v>101316.8</v>
      </c>
      <c r="D98" s="60"/>
      <c r="E98" s="60"/>
      <c r="F98" s="60"/>
      <c r="G98" s="60"/>
      <c r="H98" s="60"/>
      <c r="I98" s="60"/>
      <c r="J98" s="60"/>
      <c r="K98" s="60"/>
      <c r="L98" s="60"/>
      <c r="M98" s="61">
        <f>SUM(C98)</f>
        <v>101316.8</v>
      </c>
    </row>
    <row r="99" spans="1:13" ht="107.25" customHeight="1">
      <c r="A99" s="73"/>
      <c r="B99" s="59" t="s">
        <v>934</v>
      </c>
      <c r="C99" s="60">
        <v>61400</v>
      </c>
      <c r="D99" s="60"/>
      <c r="E99" s="60"/>
      <c r="F99" s="60"/>
      <c r="G99" s="60"/>
      <c r="H99" s="60"/>
      <c r="I99" s="60"/>
      <c r="J99" s="60"/>
      <c r="K99" s="60"/>
      <c r="L99" s="60"/>
      <c r="M99" s="61">
        <f>SUM(C99)</f>
        <v>61400</v>
      </c>
    </row>
    <row r="100" spans="1:13" ht="107.25" customHeight="1">
      <c r="A100" s="73"/>
      <c r="B100" s="59" t="s">
        <v>34</v>
      </c>
      <c r="C100" s="60">
        <v>39916.8</v>
      </c>
      <c r="D100" s="60"/>
      <c r="E100" s="60"/>
      <c r="F100" s="60"/>
      <c r="G100" s="60"/>
      <c r="H100" s="60"/>
      <c r="I100" s="60"/>
      <c r="J100" s="60"/>
      <c r="K100" s="60"/>
      <c r="L100" s="60"/>
      <c r="M100" s="61">
        <f t="shared" si="1"/>
        <v>39916.8</v>
      </c>
    </row>
    <row r="101" spans="1:13" ht="33">
      <c r="A101" s="58" t="s">
        <v>287</v>
      </c>
      <c r="B101" s="74" t="s">
        <v>315</v>
      </c>
      <c r="C101" s="60">
        <f>76000-76000</f>
        <v>0</v>
      </c>
      <c r="D101" s="60">
        <v>0</v>
      </c>
      <c r="E101" s="60">
        <v>0</v>
      </c>
      <c r="F101" s="60">
        <v>0</v>
      </c>
      <c r="G101" s="60">
        <v>0</v>
      </c>
      <c r="H101" s="60">
        <v>0</v>
      </c>
      <c r="I101" s="60">
        <v>0</v>
      </c>
      <c r="J101" s="60">
        <v>0</v>
      </c>
      <c r="K101" s="60">
        <v>0</v>
      </c>
      <c r="L101" s="60"/>
      <c r="M101" s="61">
        <f t="shared" si="1"/>
        <v>0</v>
      </c>
    </row>
    <row r="102" spans="1:13" ht="74.25" customHeight="1">
      <c r="A102" s="58" t="s">
        <v>276</v>
      </c>
      <c r="B102" s="59" t="s">
        <v>189</v>
      </c>
      <c r="C102" s="60">
        <v>0</v>
      </c>
      <c r="D102" s="60">
        <v>0</v>
      </c>
      <c r="E102" s="60">
        <v>0</v>
      </c>
      <c r="F102" s="60">
        <f>SUM(F103)</f>
        <v>4010494</v>
      </c>
      <c r="G102" s="60">
        <f>SUM(G103)</f>
        <v>4010494</v>
      </c>
      <c r="H102" s="60">
        <v>0</v>
      </c>
      <c r="I102" s="60">
        <v>0</v>
      </c>
      <c r="J102" s="60">
        <v>0</v>
      </c>
      <c r="K102" s="60">
        <v>0</v>
      </c>
      <c r="L102" s="60"/>
      <c r="M102" s="61">
        <f t="shared" si="1"/>
        <v>4010494</v>
      </c>
    </row>
    <row r="103" spans="1:13" ht="42" customHeight="1">
      <c r="A103" s="69"/>
      <c r="B103" s="59" t="s">
        <v>803</v>
      </c>
      <c r="C103" s="60"/>
      <c r="D103" s="60"/>
      <c r="E103" s="60"/>
      <c r="F103" s="60">
        <f>SUM(G103)</f>
        <v>4010494</v>
      </c>
      <c r="G103" s="60">
        <f>4630687-20191-600002</f>
        <v>4010494</v>
      </c>
      <c r="H103" s="60"/>
      <c r="I103" s="60"/>
      <c r="J103" s="60"/>
      <c r="K103" s="60"/>
      <c r="L103" s="60"/>
      <c r="M103" s="61">
        <f>SUM(F103)</f>
        <v>4010494</v>
      </c>
    </row>
    <row r="104" spans="1:13" ht="33">
      <c r="A104" s="100">
        <v>250404</v>
      </c>
      <c r="B104" s="59" t="s">
        <v>760</v>
      </c>
      <c r="C104" s="60">
        <v>140110.39</v>
      </c>
      <c r="D104" s="60"/>
      <c r="E104" s="60">
        <v>140110.39</v>
      </c>
      <c r="F104" s="60"/>
      <c r="G104" s="60"/>
      <c r="H104" s="60"/>
      <c r="I104" s="60"/>
      <c r="J104" s="60"/>
      <c r="K104" s="60"/>
      <c r="L104" s="60"/>
      <c r="M104" s="61">
        <f>SUM(C104)</f>
        <v>140110.39</v>
      </c>
    </row>
    <row r="105" spans="1:13" ht="78.75" customHeight="1">
      <c r="A105" s="100">
        <v>250363</v>
      </c>
      <c r="B105" s="59" t="s">
        <v>270</v>
      </c>
      <c r="C105" s="60"/>
      <c r="D105" s="60"/>
      <c r="E105" s="60"/>
      <c r="F105" s="60">
        <f>G105+J105</f>
        <v>5600000</v>
      </c>
      <c r="G105" s="60"/>
      <c r="H105" s="60"/>
      <c r="I105" s="60"/>
      <c r="J105" s="60">
        <v>5600000</v>
      </c>
      <c r="K105" s="60">
        <v>5600000</v>
      </c>
      <c r="L105" s="60">
        <v>5600000</v>
      </c>
      <c r="M105" s="61">
        <f>SUM(F105)</f>
        <v>5600000</v>
      </c>
    </row>
    <row r="106" spans="1:13" ht="49.5">
      <c r="A106" s="55">
        <v>15</v>
      </c>
      <c r="B106" s="56" t="s">
        <v>582</v>
      </c>
      <c r="C106" s="57">
        <f>C107+C108+C109+C112+C115+C117+C120+C124+C127+C130+C132+C135+C138+C139+C142+C145+C147+C150+C153+C156+C159+C162+C165+C168+C171+C174+C177+C181+C183+C186+C187+C188+C189+C190+C194+C195+C198+C199+C200+C202+C205+C207+C210+C214</f>
        <v>601454622.4</v>
      </c>
      <c r="D106" s="57">
        <f>SUM(D107+D108+D188)</f>
        <v>33350007</v>
      </c>
      <c r="E106" s="57">
        <f>SUM(E107+E108+E188)</f>
        <v>726760</v>
      </c>
      <c r="F106" s="57">
        <f>SUM(F188+F201+F212)</f>
        <v>1520957</v>
      </c>
      <c r="G106" s="57">
        <f>SUM(G188+G212)</f>
        <v>765757</v>
      </c>
      <c r="H106" s="57">
        <v>52820</v>
      </c>
      <c r="I106" s="57">
        <v>0</v>
      </c>
      <c r="J106" s="57">
        <f>SUM(J212+J201)</f>
        <v>755200</v>
      </c>
      <c r="K106" s="57">
        <f>SUM(K201)</f>
        <v>399900</v>
      </c>
      <c r="L106" s="57"/>
      <c r="M106" s="57">
        <f>C106+F106</f>
        <v>602975579.4</v>
      </c>
    </row>
    <row r="107" spans="1:13" ht="16.5">
      <c r="A107" s="58" t="s">
        <v>274</v>
      </c>
      <c r="B107" s="59" t="s">
        <v>497</v>
      </c>
      <c r="C107" s="60">
        <f>15770708+3723780</f>
        <v>19494488</v>
      </c>
      <c r="D107" s="60">
        <f>11113860+2732047</f>
        <v>13845907</v>
      </c>
      <c r="E107" s="60">
        <v>398620</v>
      </c>
      <c r="F107" s="60">
        <v>0</v>
      </c>
      <c r="G107" s="60">
        <v>0</v>
      </c>
      <c r="H107" s="60">
        <v>0</v>
      </c>
      <c r="I107" s="60">
        <v>0</v>
      </c>
      <c r="J107" s="60">
        <v>0</v>
      </c>
      <c r="K107" s="60">
        <v>0</v>
      </c>
      <c r="L107" s="60"/>
      <c r="M107" s="61">
        <f>C107+F107</f>
        <v>19494488</v>
      </c>
    </row>
    <row r="108" spans="1:13" ht="105.75" customHeight="1">
      <c r="A108" s="73">
        <v>10116</v>
      </c>
      <c r="B108" s="59" t="s">
        <v>53</v>
      </c>
      <c r="C108" s="60">
        <v>3602400</v>
      </c>
      <c r="D108" s="60">
        <v>2720000</v>
      </c>
      <c r="E108" s="60">
        <v>42000</v>
      </c>
      <c r="F108" s="60"/>
      <c r="G108" s="60"/>
      <c r="H108" s="60"/>
      <c r="I108" s="60"/>
      <c r="J108" s="60"/>
      <c r="K108" s="60"/>
      <c r="L108" s="60"/>
      <c r="M108" s="61">
        <f>C108+F108</f>
        <v>3602400</v>
      </c>
    </row>
    <row r="109" spans="1:13" ht="33">
      <c r="A109" s="58" t="s">
        <v>825</v>
      </c>
      <c r="B109" s="59" t="s">
        <v>55</v>
      </c>
      <c r="C109" s="60">
        <f>SUM(C110:C111)</f>
        <v>8208000</v>
      </c>
      <c r="D109" s="60">
        <v>0</v>
      </c>
      <c r="E109" s="60">
        <v>0</v>
      </c>
      <c r="F109" s="60">
        <v>0</v>
      </c>
      <c r="G109" s="60">
        <v>0</v>
      </c>
      <c r="H109" s="60">
        <v>0</v>
      </c>
      <c r="I109" s="60">
        <v>0</v>
      </c>
      <c r="J109" s="60">
        <v>0</v>
      </c>
      <c r="K109" s="60">
        <v>0</v>
      </c>
      <c r="L109" s="60"/>
      <c r="M109" s="61">
        <f>C109+F109</f>
        <v>8208000</v>
      </c>
    </row>
    <row r="110" spans="1:13" ht="33">
      <c r="A110" s="58"/>
      <c r="B110" s="59" t="s">
        <v>324</v>
      </c>
      <c r="C110" s="60">
        <v>1760160</v>
      </c>
      <c r="D110" s="60"/>
      <c r="E110" s="60"/>
      <c r="F110" s="60"/>
      <c r="G110" s="60"/>
      <c r="H110" s="60"/>
      <c r="I110" s="60"/>
      <c r="J110" s="60"/>
      <c r="K110" s="60"/>
      <c r="L110" s="60"/>
      <c r="M110" s="61">
        <f>SUM(C110)</f>
        <v>1760160</v>
      </c>
    </row>
    <row r="111" spans="1:13" ht="16.5">
      <c r="A111" s="58"/>
      <c r="B111" s="59" t="s">
        <v>325</v>
      </c>
      <c r="C111" s="60">
        <v>6447840</v>
      </c>
      <c r="D111" s="60"/>
      <c r="E111" s="60"/>
      <c r="F111" s="60"/>
      <c r="G111" s="60"/>
      <c r="H111" s="60"/>
      <c r="I111" s="60"/>
      <c r="J111" s="60"/>
      <c r="K111" s="60"/>
      <c r="L111" s="60"/>
      <c r="M111" s="61">
        <f>SUM(C111)</f>
        <v>6447840</v>
      </c>
    </row>
    <row r="112" spans="1:13" ht="293.25" customHeight="1">
      <c r="A112" s="58" t="s">
        <v>312</v>
      </c>
      <c r="B112" s="75" t="s">
        <v>776</v>
      </c>
      <c r="C112" s="60">
        <f>SUM(C113:C114)</f>
        <v>33869796</v>
      </c>
      <c r="D112" s="60">
        <v>0</v>
      </c>
      <c r="E112" s="60">
        <v>0</v>
      </c>
      <c r="F112" s="60">
        <v>0</v>
      </c>
      <c r="G112" s="60">
        <v>0</v>
      </c>
      <c r="H112" s="60">
        <v>0</v>
      </c>
      <c r="I112" s="60">
        <v>0</v>
      </c>
      <c r="J112" s="60">
        <v>0</v>
      </c>
      <c r="K112" s="60">
        <v>0</v>
      </c>
      <c r="L112" s="60"/>
      <c r="M112" s="61">
        <f>C112+F112</f>
        <v>33869796</v>
      </c>
    </row>
    <row r="113" spans="1:13" ht="33">
      <c r="A113" s="58"/>
      <c r="B113" s="59" t="s">
        <v>324</v>
      </c>
      <c r="C113" s="60">
        <v>6237434</v>
      </c>
      <c r="D113" s="60"/>
      <c r="E113" s="60"/>
      <c r="F113" s="60"/>
      <c r="G113" s="60"/>
      <c r="H113" s="60"/>
      <c r="I113" s="60"/>
      <c r="J113" s="60"/>
      <c r="K113" s="60"/>
      <c r="L113" s="60"/>
      <c r="M113" s="61">
        <f>SUM(C113)</f>
        <v>6237434</v>
      </c>
    </row>
    <row r="114" spans="1:13" ht="16.5">
      <c r="A114" s="58"/>
      <c r="B114" s="59" t="s">
        <v>325</v>
      </c>
      <c r="C114" s="60">
        <f>29632362-2000000</f>
        <v>27632362</v>
      </c>
      <c r="D114" s="60"/>
      <c r="E114" s="60"/>
      <c r="F114" s="60"/>
      <c r="G114" s="60"/>
      <c r="H114" s="60"/>
      <c r="I114" s="60"/>
      <c r="J114" s="60"/>
      <c r="K114" s="60"/>
      <c r="L114" s="60"/>
      <c r="M114" s="61">
        <f>SUM(C114)</f>
        <v>27632362</v>
      </c>
    </row>
    <row r="115" spans="1:13" ht="161.25" customHeight="1">
      <c r="A115" s="58" t="s">
        <v>570</v>
      </c>
      <c r="B115" s="75" t="s">
        <v>33</v>
      </c>
      <c r="C115" s="60">
        <f>SUM(C116)</f>
        <v>59378.74</v>
      </c>
      <c r="D115" s="60">
        <v>0</v>
      </c>
      <c r="E115" s="60">
        <v>0</v>
      </c>
      <c r="F115" s="60">
        <v>0</v>
      </c>
      <c r="G115" s="60">
        <v>0</v>
      </c>
      <c r="H115" s="60">
        <v>0</v>
      </c>
      <c r="I115" s="60">
        <v>0</v>
      </c>
      <c r="J115" s="60">
        <v>0</v>
      </c>
      <c r="K115" s="60">
        <v>0</v>
      </c>
      <c r="L115" s="60"/>
      <c r="M115" s="61">
        <f>C115+F115</f>
        <v>59378.74</v>
      </c>
    </row>
    <row r="116" spans="1:13" ht="16.5">
      <c r="A116" s="58"/>
      <c r="B116" s="59" t="s">
        <v>325</v>
      </c>
      <c r="C116" s="60">
        <f>36936-714-16340-14792.61+14267.93+40021.42</f>
        <v>59378.74</v>
      </c>
      <c r="D116" s="60"/>
      <c r="E116" s="60"/>
      <c r="F116" s="60"/>
      <c r="G116" s="60"/>
      <c r="H116" s="60"/>
      <c r="I116" s="60"/>
      <c r="J116" s="60"/>
      <c r="K116" s="60"/>
      <c r="L116" s="60"/>
      <c r="M116" s="61">
        <f>SUM(C116)</f>
        <v>59378.74</v>
      </c>
    </row>
    <row r="117" spans="1:13" ht="294" customHeight="1">
      <c r="A117" s="58" t="s">
        <v>772</v>
      </c>
      <c r="B117" s="75" t="s">
        <v>763</v>
      </c>
      <c r="C117" s="60">
        <f>SUM(C118:C119)</f>
        <v>642962</v>
      </c>
      <c r="D117" s="60">
        <v>0</v>
      </c>
      <c r="E117" s="60">
        <v>0</v>
      </c>
      <c r="F117" s="60">
        <v>0</v>
      </c>
      <c r="G117" s="60">
        <v>0</v>
      </c>
      <c r="H117" s="60">
        <v>0</v>
      </c>
      <c r="I117" s="60">
        <v>0</v>
      </c>
      <c r="J117" s="60">
        <v>0</v>
      </c>
      <c r="K117" s="60">
        <v>0</v>
      </c>
      <c r="L117" s="60"/>
      <c r="M117" s="61">
        <f>C117+F117</f>
        <v>642962</v>
      </c>
    </row>
    <row r="118" spans="1:13" ht="33">
      <c r="A118" s="58"/>
      <c r="B118" s="59" t="s">
        <v>324</v>
      </c>
      <c r="C118" s="60">
        <v>38228</v>
      </c>
      <c r="D118" s="60"/>
      <c r="E118" s="60"/>
      <c r="F118" s="60"/>
      <c r="G118" s="60"/>
      <c r="H118" s="60"/>
      <c r="I118" s="60"/>
      <c r="J118" s="60"/>
      <c r="K118" s="60"/>
      <c r="L118" s="60"/>
      <c r="M118" s="61">
        <f>SUM(C118)</f>
        <v>38228</v>
      </c>
    </row>
    <row r="119" spans="1:13" ht="16.5">
      <c r="A119" s="58"/>
      <c r="B119" s="59" t="s">
        <v>325</v>
      </c>
      <c r="C119" s="60">
        <f>664734-60000</f>
        <v>604734</v>
      </c>
      <c r="D119" s="60"/>
      <c r="E119" s="60"/>
      <c r="F119" s="60"/>
      <c r="G119" s="60"/>
      <c r="H119" s="60"/>
      <c r="I119" s="60"/>
      <c r="J119" s="60"/>
      <c r="K119" s="60"/>
      <c r="L119" s="60"/>
      <c r="M119" s="61">
        <f>SUM(C119)</f>
        <v>604734</v>
      </c>
    </row>
    <row r="120" spans="1:13" ht="409.5">
      <c r="A120" s="58" t="s">
        <v>308</v>
      </c>
      <c r="B120" s="75" t="s">
        <v>929</v>
      </c>
      <c r="C120" s="60">
        <f>SUM(C122:C123)</f>
        <v>13152636</v>
      </c>
      <c r="D120" s="60">
        <v>0</v>
      </c>
      <c r="E120" s="60">
        <v>0</v>
      </c>
      <c r="F120" s="60">
        <v>0</v>
      </c>
      <c r="G120" s="60">
        <v>0</v>
      </c>
      <c r="H120" s="60">
        <v>0</v>
      </c>
      <c r="I120" s="60">
        <v>0</v>
      </c>
      <c r="J120" s="60">
        <v>0</v>
      </c>
      <c r="K120" s="60">
        <v>0</v>
      </c>
      <c r="L120" s="60"/>
      <c r="M120" s="61">
        <f>C120+F120</f>
        <v>13152636</v>
      </c>
    </row>
    <row r="121" spans="1:13" ht="313.5">
      <c r="A121" s="58"/>
      <c r="B121" s="75" t="s">
        <v>752</v>
      </c>
      <c r="C121" s="60"/>
      <c r="D121" s="60"/>
      <c r="E121" s="60"/>
      <c r="F121" s="60"/>
      <c r="G121" s="60"/>
      <c r="H121" s="60"/>
      <c r="I121" s="60"/>
      <c r="J121" s="60"/>
      <c r="K121" s="60"/>
      <c r="L121" s="60"/>
      <c r="M121" s="61"/>
    </row>
    <row r="122" spans="1:13" ht="33">
      <c r="A122" s="58"/>
      <c r="B122" s="59" t="s">
        <v>324</v>
      </c>
      <c r="C122" s="60">
        <v>1516352</v>
      </c>
      <c r="D122" s="60"/>
      <c r="E122" s="60"/>
      <c r="F122" s="60"/>
      <c r="G122" s="60"/>
      <c r="H122" s="60"/>
      <c r="I122" s="60"/>
      <c r="J122" s="60"/>
      <c r="K122" s="60"/>
      <c r="L122" s="60"/>
      <c r="M122" s="61">
        <f>SUM(C122)</f>
        <v>1516352</v>
      </c>
    </row>
    <row r="123" spans="1:13" ht="16.5">
      <c r="A123" s="58"/>
      <c r="B123" s="59" t="s">
        <v>325</v>
      </c>
      <c r="C123" s="60">
        <f>11636284</f>
        <v>11636284</v>
      </c>
      <c r="D123" s="60"/>
      <c r="E123" s="60"/>
      <c r="F123" s="60"/>
      <c r="G123" s="60"/>
      <c r="H123" s="60"/>
      <c r="I123" s="60"/>
      <c r="J123" s="60"/>
      <c r="K123" s="60"/>
      <c r="L123" s="60"/>
      <c r="M123" s="61">
        <f>SUM(C123)</f>
        <v>11636284</v>
      </c>
    </row>
    <row r="124" spans="1:13" ht="409.5">
      <c r="A124" s="58" t="s">
        <v>897</v>
      </c>
      <c r="B124" s="59" t="s">
        <v>692</v>
      </c>
      <c r="C124" s="60">
        <f>SUM(C126)</f>
        <v>4404.26</v>
      </c>
      <c r="D124" s="60">
        <v>0</v>
      </c>
      <c r="E124" s="60">
        <v>0</v>
      </c>
      <c r="F124" s="60">
        <v>0</v>
      </c>
      <c r="G124" s="60">
        <v>0</v>
      </c>
      <c r="H124" s="60">
        <v>0</v>
      </c>
      <c r="I124" s="60">
        <v>0</v>
      </c>
      <c r="J124" s="60">
        <v>0</v>
      </c>
      <c r="K124" s="60">
        <v>0</v>
      </c>
      <c r="L124" s="60"/>
      <c r="M124" s="61">
        <f>C124+F124</f>
        <v>4404.26</v>
      </c>
    </row>
    <row r="125" spans="1:13" ht="108.75" customHeight="1">
      <c r="A125" s="58"/>
      <c r="B125" s="59" t="s">
        <v>464</v>
      </c>
      <c r="C125" s="60"/>
      <c r="D125" s="60"/>
      <c r="E125" s="60"/>
      <c r="F125" s="60"/>
      <c r="G125" s="60"/>
      <c r="H125" s="60"/>
      <c r="I125" s="60"/>
      <c r="J125" s="60"/>
      <c r="K125" s="60"/>
      <c r="L125" s="60"/>
      <c r="M125" s="61">
        <f>SUM(C125)</f>
        <v>0</v>
      </c>
    </row>
    <row r="126" spans="1:13" ht="16.5">
      <c r="A126" s="58"/>
      <c r="B126" s="59" t="s">
        <v>325</v>
      </c>
      <c r="C126" s="60">
        <f>1900-1900+2064.18+2340.08</f>
        <v>4404.26</v>
      </c>
      <c r="D126" s="60"/>
      <c r="E126" s="60"/>
      <c r="F126" s="60"/>
      <c r="G126" s="60"/>
      <c r="H126" s="60"/>
      <c r="I126" s="60"/>
      <c r="J126" s="60"/>
      <c r="K126" s="60"/>
      <c r="L126" s="60"/>
      <c r="M126" s="61">
        <f>SUM(C126)</f>
        <v>4404.26</v>
      </c>
    </row>
    <row r="127" spans="1:13" ht="123" customHeight="1">
      <c r="A127" s="58" t="s">
        <v>790</v>
      </c>
      <c r="B127" s="59" t="s">
        <v>466</v>
      </c>
      <c r="C127" s="60">
        <f>SUM(C128:C129)</f>
        <v>1523572</v>
      </c>
      <c r="D127" s="60">
        <v>0</v>
      </c>
      <c r="E127" s="60">
        <v>0</v>
      </c>
      <c r="F127" s="60">
        <v>0</v>
      </c>
      <c r="G127" s="60">
        <v>0</v>
      </c>
      <c r="H127" s="60">
        <v>0</v>
      </c>
      <c r="I127" s="60">
        <v>0</v>
      </c>
      <c r="J127" s="60">
        <v>0</v>
      </c>
      <c r="K127" s="60">
        <v>0</v>
      </c>
      <c r="L127" s="60"/>
      <c r="M127" s="61">
        <f>C127+F127</f>
        <v>1523572</v>
      </c>
    </row>
    <row r="128" spans="1:13" ht="33">
      <c r="A128" s="58"/>
      <c r="B128" s="59" t="s">
        <v>324</v>
      </c>
      <c r="C128" s="60">
        <v>186656</v>
      </c>
      <c r="D128" s="60"/>
      <c r="E128" s="60"/>
      <c r="F128" s="60"/>
      <c r="G128" s="60"/>
      <c r="H128" s="60"/>
      <c r="I128" s="60"/>
      <c r="J128" s="60"/>
      <c r="K128" s="60"/>
      <c r="L128" s="60"/>
      <c r="M128" s="61">
        <f>SUM(C128)</f>
        <v>186656</v>
      </c>
    </row>
    <row r="129" spans="1:13" ht="16.5">
      <c r="A129" s="58"/>
      <c r="B129" s="59" t="s">
        <v>325</v>
      </c>
      <c r="C129" s="60">
        <v>1336916</v>
      </c>
      <c r="D129" s="60"/>
      <c r="E129" s="60"/>
      <c r="F129" s="60"/>
      <c r="G129" s="60"/>
      <c r="H129" s="60"/>
      <c r="I129" s="60"/>
      <c r="J129" s="60"/>
      <c r="K129" s="60"/>
      <c r="L129" s="60"/>
      <c r="M129" s="61">
        <f>SUM(C129)</f>
        <v>1336916</v>
      </c>
    </row>
    <row r="130" spans="1:13" ht="122.25" customHeight="1">
      <c r="A130" s="58" t="s">
        <v>899</v>
      </c>
      <c r="B130" s="59" t="s">
        <v>898</v>
      </c>
      <c r="C130" s="60">
        <f>1900-1900</f>
        <v>0</v>
      </c>
      <c r="D130" s="60">
        <v>0</v>
      </c>
      <c r="E130" s="60">
        <v>0</v>
      </c>
      <c r="F130" s="60">
        <v>0</v>
      </c>
      <c r="G130" s="60">
        <v>0</v>
      </c>
      <c r="H130" s="60">
        <v>0</v>
      </c>
      <c r="I130" s="60">
        <v>0</v>
      </c>
      <c r="J130" s="60">
        <v>0</v>
      </c>
      <c r="K130" s="60">
        <v>0</v>
      </c>
      <c r="L130" s="60"/>
      <c r="M130" s="61">
        <f>C130+F130</f>
        <v>0</v>
      </c>
    </row>
    <row r="131" spans="1:13" ht="16.5">
      <c r="A131" s="58"/>
      <c r="B131" s="59" t="s">
        <v>325</v>
      </c>
      <c r="C131" s="60">
        <f>1900-1900</f>
        <v>0</v>
      </c>
      <c r="D131" s="60"/>
      <c r="E131" s="60"/>
      <c r="F131" s="60"/>
      <c r="G131" s="60"/>
      <c r="H131" s="60"/>
      <c r="I131" s="60"/>
      <c r="J131" s="60"/>
      <c r="K131" s="60"/>
      <c r="L131" s="60"/>
      <c r="M131" s="61">
        <f>SUM(C131)</f>
        <v>0</v>
      </c>
    </row>
    <row r="132" spans="1:13" ht="107.25" customHeight="1">
      <c r="A132" s="58" t="s">
        <v>773</v>
      </c>
      <c r="B132" s="59" t="s">
        <v>785</v>
      </c>
      <c r="C132" s="60">
        <f>SUM(C133:C134)</f>
        <v>82651</v>
      </c>
      <c r="D132" s="60">
        <v>0</v>
      </c>
      <c r="E132" s="60">
        <v>0</v>
      </c>
      <c r="F132" s="60">
        <v>0</v>
      </c>
      <c r="G132" s="60">
        <v>0</v>
      </c>
      <c r="H132" s="60">
        <v>0</v>
      </c>
      <c r="I132" s="60">
        <v>0</v>
      </c>
      <c r="J132" s="60">
        <v>0</v>
      </c>
      <c r="K132" s="60">
        <v>0</v>
      </c>
      <c r="L132" s="60"/>
      <c r="M132" s="61">
        <f>C132+F132</f>
        <v>82651</v>
      </c>
    </row>
    <row r="133" spans="1:13" ht="33">
      <c r="A133" s="58"/>
      <c r="B133" s="59" t="s">
        <v>324</v>
      </c>
      <c r="C133" s="60">
        <v>7125</v>
      </c>
      <c r="D133" s="60"/>
      <c r="E133" s="60"/>
      <c r="F133" s="60"/>
      <c r="G133" s="60"/>
      <c r="H133" s="60"/>
      <c r="I133" s="60"/>
      <c r="J133" s="60"/>
      <c r="K133" s="60"/>
      <c r="L133" s="60"/>
      <c r="M133" s="61">
        <f>SUM(C133)</f>
        <v>7125</v>
      </c>
    </row>
    <row r="134" spans="1:13" ht="16.5">
      <c r="A134" s="58"/>
      <c r="B134" s="59" t="s">
        <v>325</v>
      </c>
      <c r="C134" s="60">
        <v>75526</v>
      </c>
      <c r="D134" s="60"/>
      <c r="E134" s="60"/>
      <c r="F134" s="60"/>
      <c r="G134" s="60"/>
      <c r="H134" s="60"/>
      <c r="I134" s="60"/>
      <c r="J134" s="60"/>
      <c r="K134" s="60"/>
      <c r="L134" s="60"/>
      <c r="M134" s="61">
        <f>SUM(C134)</f>
        <v>75526</v>
      </c>
    </row>
    <row r="135" spans="1:13" ht="227.25" customHeight="1">
      <c r="A135" s="58" t="s">
        <v>768</v>
      </c>
      <c r="B135" s="59" t="s">
        <v>855</v>
      </c>
      <c r="C135" s="60">
        <f>SUM(C136:C137)</f>
        <v>333564</v>
      </c>
      <c r="D135" s="60">
        <v>0</v>
      </c>
      <c r="E135" s="60">
        <v>0</v>
      </c>
      <c r="F135" s="60">
        <v>0</v>
      </c>
      <c r="G135" s="60">
        <v>0</v>
      </c>
      <c r="H135" s="60">
        <v>0</v>
      </c>
      <c r="I135" s="60">
        <v>0</v>
      </c>
      <c r="J135" s="60">
        <v>0</v>
      </c>
      <c r="K135" s="60">
        <v>0</v>
      </c>
      <c r="L135" s="60"/>
      <c r="M135" s="61">
        <f>C135+F135</f>
        <v>333564</v>
      </c>
    </row>
    <row r="136" spans="1:13" ht="33">
      <c r="A136" s="58"/>
      <c r="B136" s="59" t="s">
        <v>324</v>
      </c>
      <c r="C136" s="60">
        <v>28652</v>
      </c>
      <c r="D136" s="60"/>
      <c r="E136" s="60"/>
      <c r="F136" s="60"/>
      <c r="G136" s="60"/>
      <c r="H136" s="60"/>
      <c r="I136" s="60"/>
      <c r="J136" s="60"/>
      <c r="K136" s="60"/>
      <c r="L136" s="60"/>
      <c r="M136" s="61">
        <f>SUM(C136)</f>
        <v>28652</v>
      </c>
    </row>
    <row r="137" spans="1:13" ht="16.5">
      <c r="A137" s="58"/>
      <c r="B137" s="59" t="s">
        <v>325</v>
      </c>
      <c r="C137" s="60">
        <v>304912</v>
      </c>
      <c r="D137" s="60"/>
      <c r="E137" s="60"/>
      <c r="F137" s="60"/>
      <c r="G137" s="60"/>
      <c r="H137" s="60"/>
      <c r="I137" s="60"/>
      <c r="J137" s="60"/>
      <c r="K137" s="60"/>
      <c r="L137" s="60"/>
      <c r="M137" s="61">
        <f>SUM(C137)</f>
        <v>304912</v>
      </c>
    </row>
    <row r="138" spans="1:13" ht="66">
      <c r="A138" s="58" t="s">
        <v>826</v>
      </c>
      <c r="B138" s="59" t="s">
        <v>465</v>
      </c>
      <c r="C138" s="60">
        <v>109820</v>
      </c>
      <c r="D138" s="60">
        <v>0</v>
      </c>
      <c r="E138" s="60">
        <v>0</v>
      </c>
      <c r="F138" s="60">
        <v>0</v>
      </c>
      <c r="G138" s="60">
        <v>0</v>
      </c>
      <c r="H138" s="60">
        <v>0</v>
      </c>
      <c r="I138" s="60">
        <v>0</v>
      </c>
      <c r="J138" s="60">
        <v>0</v>
      </c>
      <c r="K138" s="60">
        <v>0</v>
      </c>
      <c r="L138" s="60"/>
      <c r="M138" s="61">
        <f>C138+F138</f>
        <v>109820</v>
      </c>
    </row>
    <row r="139" spans="1:13" ht="33">
      <c r="A139" s="58" t="s">
        <v>775</v>
      </c>
      <c r="B139" s="59" t="s">
        <v>774</v>
      </c>
      <c r="C139" s="60">
        <f>SUM(C140:C141)</f>
        <v>4286587</v>
      </c>
      <c r="D139" s="60">
        <v>0</v>
      </c>
      <c r="E139" s="60">
        <v>0</v>
      </c>
      <c r="F139" s="60">
        <v>0</v>
      </c>
      <c r="G139" s="60">
        <v>0</v>
      </c>
      <c r="H139" s="60">
        <v>0</v>
      </c>
      <c r="I139" s="60">
        <v>0</v>
      </c>
      <c r="J139" s="60">
        <v>0</v>
      </c>
      <c r="K139" s="60">
        <v>0</v>
      </c>
      <c r="L139" s="60"/>
      <c r="M139" s="61">
        <f>C139+F139</f>
        <v>4286587</v>
      </c>
    </row>
    <row r="140" spans="1:13" ht="33">
      <c r="A140" s="58"/>
      <c r="B140" s="59" t="s">
        <v>324</v>
      </c>
      <c r="C140" s="60">
        <v>433827</v>
      </c>
      <c r="D140" s="60"/>
      <c r="E140" s="60"/>
      <c r="F140" s="60"/>
      <c r="G140" s="60"/>
      <c r="H140" s="60"/>
      <c r="I140" s="60"/>
      <c r="J140" s="60"/>
      <c r="K140" s="60"/>
      <c r="L140" s="60"/>
      <c r="M140" s="61">
        <f>SUM(C140)</f>
        <v>433827</v>
      </c>
    </row>
    <row r="141" spans="1:13" ht="16.5">
      <c r="A141" s="58"/>
      <c r="B141" s="59" t="s">
        <v>325</v>
      </c>
      <c r="C141" s="60">
        <f>3792760+60000</f>
        <v>3852760</v>
      </c>
      <c r="D141" s="60"/>
      <c r="E141" s="60"/>
      <c r="F141" s="60"/>
      <c r="G141" s="60"/>
      <c r="H141" s="60"/>
      <c r="I141" s="60"/>
      <c r="J141" s="60"/>
      <c r="K141" s="60"/>
      <c r="L141" s="60"/>
      <c r="M141" s="61">
        <f>SUM(C141)</f>
        <v>3852760</v>
      </c>
    </row>
    <row r="142" spans="1:13" ht="33">
      <c r="A142" s="58" t="s">
        <v>770</v>
      </c>
      <c r="B142" s="59" t="s">
        <v>769</v>
      </c>
      <c r="C142" s="60">
        <f>SUM(C143:C144)</f>
        <v>3478292</v>
      </c>
      <c r="D142" s="60">
        <v>0</v>
      </c>
      <c r="E142" s="60">
        <v>0</v>
      </c>
      <c r="F142" s="60">
        <v>0</v>
      </c>
      <c r="G142" s="60">
        <v>0</v>
      </c>
      <c r="H142" s="60">
        <v>0</v>
      </c>
      <c r="I142" s="60">
        <v>0</v>
      </c>
      <c r="J142" s="60">
        <v>0</v>
      </c>
      <c r="K142" s="60">
        <v>0</v>
      </c>
      <c r="L142" s="60"/>
      <c r="M142" s="61">
        <f>C142+F142</f>
        <v>3478292</v>
      </c>
    </row>
    <row r="143" spans="1:13" ht="33">
      <c r="A143" s="58"/>
      <c r="B143" s="59" t="s">
        <v>324</v>
      </c>
      <c r="C143" s="60">
        <v>501296</v>
      </c>
      <c r="D143" s="60"/>
      <c r="E143" s="60"/>
      <c r="F143" s="60"/>
      <c r="G143" s="60"/>
      <c r="H143" s="60"/>
      <c r="I143" s="60"/>
      <c r="J143" s="60"/>
      <c r="K143" s="60"/>
      <c r="L143" s="60"/>
      <c r="M143" s="61">
        <f>SUM(C143)</f>
        <v>501296</v>
      </c>
    </row>
    <row r="144" spans="1:13" ht="16.5">
      <c r="A144" s="58"/>
      <c r="B144" s="59" t="s">
        <v>325</v>
      </c>
      <c r="C144" s="60">
        <v>2976996</v>
      </c>
      <c r="D144" s="60"/>
      <c r="E144" s="60"/>
      <c r="F144" s="60"/>
      <c r="G144" s="60"/>
      <c r="H144" s="60"/>
      <c r="I144" s="60"/>
      <c r="J144" s="60"/>
      <c r="K144" s="60"/>
      <c r="L144" s="60"/>
      <c r="M144" s="61">
        <f>SUM(C144)</f>
        <v>2976996</v>
      </c>
    </row>
    <row r="145" spans="1:13" ht="49.5">
      <c r="A145" s="58" t="s">
        <v>74</v>
      </c>
      <c r="B145" s="59" t="s">
        <v>326</v>
      </c>
      <c r="C145" s="60">
        <f>SUM(C146)</f>
        <v>13289.59</v>
      </c>
      <c r="D145" s="60">
        <v>0</v>
      </c>
      <c r="E145" s="60">
        <v>0</v>
      </c>
      <c r="F145" s="60">
        <v>0</v>
      </c>
      <c r="G145" s="60">
        <v>0</v>
      </c>
      <c r="H145" s="60">
        <v>0</v>
      </c>
      <c r="I145" s="60">
        <v>0</v>
      </c>
      <c r="J145" s="60">
        <v>0</v>
      </c>
      <c r="K145" s="60">
        <v>0</v>
      </c>
      <c r="L145" s="60"/>
      <c r="M145" s="61">
        <f>C145+F145</f>
        <v>13289.59</v>
      </c>
    </row>
    <row r="146" spans="1:13" ht="16.5">
      <c r="A146" s="58"/>
      <c r="B146" s="59" t="s">
        <v>325</v>
      </c>
      <c r="C146" s="60">
        <v>13289.59</v>
      </c>
      <c r="D146" s="60"/>
      <c r="E146" s="60"/>
      <c r="F146" s="60"/>
      <c r="G146" s="60"/>
      <c r="H146" s="60"/>
      <c r="I146" s="60"/>
      <c r="J146" s="60"/>
      <c r="K146" s="60"/>
      <c r="L146" s="60"/>
      <c r="M146" s="61">
        <f>SUM(C146)</f>
        <v>13289.59</v>
      </c>
    </row>
    <row r="147" spans="1:13" ht="16.5">
      <c r="A147" s="58" t="s">
        <v>827</v>
      </c>
      <c r="B147" s="59" t="s">
        <v>309</v>
      </c>
      <c r="C147" s="60">
        <f>SUM(C148:C149)</f>
        <v>3939840</v>
      </c>
      <c r="D147" s="60">
        <v>0</v>
      </c>
      <c r="E147" s="60">
        <v>0</v>
      </c>
      <c r="F147" s="60">
        <v>0</v>
      </c>
      <c r="G147" s="60">
        <v>0</v>
      </c>
      <c r="H147" s="60">
        <v>0</v>
      </c>
      <c r="I147" s="60">
        <v>0</v>
      </c>
      <c r="J147" s="60">
        <v>0</v>
      </c>
      <c r="K147" s="60">
        <v>0</v>
      </c>
      <c r="L147" s="60"/>
      <c r="M147" s="61">
        <f>C147+F147</f>
        <v>3939840</v>
      </c>
    </row>
    <row r="148" spans="1:13" ht="33">
      <c r="A148" s="58"/>
      <c r="B148" s="59" t="s">
        <v>324</v>
      </c>
      <c r="C148" s="60">
        <v>721780</v>
      </c>
      <c r="D148" s="60"/>
      <c r="E148" s="60"/>
      <c r="F148" s="60"/>
      <c r="G148" s="60"/>
      <c r="H148" s="60"/>
      <c r="I148" s="60"/>
      <c r="J148" s="60"/>
      <c r="K148" s="60"/>
      <c r="L148" s="60"/>
      <c r="M148" s="61">
        <f>SUM(C148)</f>
        <v>721780</v>
      </c>
    </row>
    <row r="149" spans="1:13" ht="16.5">
      <c r="A149" s="58"/>
      <c r="B149" s="59" t="s">
        <v>325</v>
      </c>
      <c r="C149" s="60">
        <v>3218060</v>
      </c>
      <c r="D149" s="60"/>
      <c r="E149" s="60"/>
      <c r="F149" s="60"/>
      <c r="G149" s="60"/>
      <c r="H149" s="60"/>
      <c r="I149" s="60"/>
      <c r="J149" s="60"/>
      <c r="K149" s="60"/>
      <c r="L149" s="60"/>
      <c r="M149" s="61">
        <f>SUM(C149)</f>
        <v>3218060</v>
      </c>
    </row>
    <row r="150" spans="1:13" ht="33">
      <c r="A150" s="58" t="s">
        <v>828</v>
      </c>
      <c r="B150" s="59" t="s">
        <v>310</v>
      </c>
      <c r="C150" s="60">
        <f>SUM(C151:C152)</f>
        <v>71375360</v>
      </c>
      <c r="D150" s="60">
        <v>0</v>
      </c>
      <c r="E150" s="60">
        <v>0</v>
      </c>
      <c r="F150" s="60">
        <v>0</v>
      </c>
      <c r="G150" s="60">
        <v>0</v>
      </c>
      <c r="H150" s="60">
        <v>0</v>
      </c>
      <c r="I150" s="60">
        <v>0</v>
      </c>
      <c r="J150" s="60">
        <v>0</v>
      </c>
      <c r="K150" s="60">
        <v>0</v>
      </c>
      <c r="L150" s="60"/>
      <c r="M150" s="61">
        <f>C150+F150</f>
        <v>71375360</v>
      </c>
    </row>
    <row r="151" spans="1:13" ht="33">
      <c r="A151" s="58"/>
      <c r="B151" s="59" t="s">
        <v>324</v>
      </c>
      <c r="C151" s="60">
        <v>16687111</v>
      </c>
      <c r="D151" s="60"/>
      <c r="E151" s="60"/>
      <c r="F151" s="60"/>
      <c r="G151" s="60"/>
      <c r="H151" s="60"/>
      <c r="I151" s="60"/>
      <c r="J151" s="60"/>
      <c r="K151" s="60"/>
      <c r="L151" s="60"/>
      <c r="M151" s="61">
        <f>SUM(C151)</f>
        <v>16687111</v>
      </c>
    </row>
    <row r="152" spans="1:13" ht="16.5">
      <c r="A152" s="58"/>
      <c r="B152" s="59" t="s">
        <v>325</v>
      </c>
      <c r="C152" s="60">
        <f>65762249-4874000-6200000</f>
        <v>54688249</v>
      </c>
      <c r="D152" s="60"/>
      <c r="E152" s="60"/>
      <c r="F152" s="60"/>
      <c r="G152" s="60"/>
      <c r="H152" s="60"/>
      <c r="I152" s="60"/>
      <c r="J152" s="60"/>
      <c r="K152" s="60"/>
      <c r="L152" s="60"/>
      <c r="M152" s="61">
        <f>SUM(C152)</f>
        <v>54688249</v>
      </c>
    </row>
    <row r="153" spans="1:13" ht="16.5">
      <c r="A153" s="58" t="s">
        <v>829</v>
      </c>
      <c r="B153" s="59" t="s">
        <v>327</v>
      </c>
      <c r="C153" s="60">
        <f>SUM(C154:C155)</f>
        <v>184588180</v>
      </c>
      <c r="D153" s="60">
        <v>0</v>
      </c>
      <c r="E153" s="60">
        <v>0</v>
      </c>
      <c r="F153" s="60">
        <v>0</v>
      </c>
      <c r="G153" s="60">
        <v>0</v>
      </c>
      <c r="H153" s="60">
        <v>0</v>
      </c>
      <c r="I153" s="60">
        <v>0</v>
      </c>
      <c r="J153" s="60">
        <v>0</v>
      </c>
      <c r="K153" s="60">
        <v>0</v>
      </c>
      <c r="L153" s="60"/>
      <c r="M153" s="61">
        <f>C153+F153</f>
        <v>184588180</v>
      </c>
    </row>
    <row r="154" spans="1:13" ht="33">
      <c r="A154" s="58"/>
      <c r="B154" s="59" t="s">
        <v>324</v>
      </c>
      <c r="C154" s="60">
        <v>38362520</v>
      </c>
      <c r="D154" s="60"/>
      <c r="E154" s="60"/>
      <c r="F154" s="60"/>
      <c r="G154" s="60"/>
      <c r="H154" s="60"/>
      <c r="I154" s="60"/>
      <c r="J154" s="60"/>
      <c r="K154" s="60"/>
      <c r="L154" s="60"/>
      <c r="M154" s="61">
        <f>SUM(C154)</f>
        <v>38362520</v>
      </c>
    </row>
    <row r="155" spans="1:13" ht="16.5">
      <c r="A155" s="58"/>
      <c r="B155" s="59" t="s">
        <v>325</v>
      </c>
      <c r="C155" s="60">
        <f>175686160-31660500+2200000</f>
        <v>146225660</v>
      </c>
      <c r="D155" s="60"/>
      <c r="E155" s="60"/>
      <c r="F155" s="60"/>
      <c r="G155" s="60"/>
      <c r="H155" s="60"/>
      <c r="I155" s="60"/>
      <c r="J155" s="60"/>
      <c r="K155" s="60"/>
      <c r="L155" s="60"/>
      <c r="M155" s="61">
        <f>SUM(C155)</f>
        <v>146225660</v>
      </c>
    </row>
    <row r="156" spans="1:13" ht="33">
      <c r="A156" s="58" t="s">
        <v>830</v>
      </c>
      <c r="B156" s="59" t="s">
        <v>566</v>
      </c>
      <c r="C156" s="60">
        <f>SUM(C157:C158)</f>
        <v>17527660</v>
      </c>
      <c r="D156" s="60">
        <v>0</v>
      </c>
      <c r="E156" s="60">
        <v>0</v>
      </c>
      <c r="F156" s="60">
        <v>0</v>
      </c>
      <c r="G156" s="60">
        <v>0</v>
      </c>
      <c r="H156" s="60">
        <v>0</v>
      </c>
      <c r="I156" s="60">
        <v>0</v>
      </c>
      <c r="J156" s="60">
        <v>0</v>
      </c>
      <c r="K156" s="60">
        <v>0</v>
      </c>
      <c r="L156" s="60"/>
      <c r="M156" s="61">
        <f>C156+F156</f>
        <v>17527660</v>
      </c>
    </row>
    <row r="157" spans="1:13" ht="33">
      <c r="A157" s="58"/>
      <c r="B157" s="59" t="s">
        <v>324</v>
      </c>
      <c r="C157" s="60">
        <v>3295683</v>
      </c>
      <c r="D157" s="60"/>
      <c r="E157" s="60"/>
      <c r="F157" s="60"/>
      <c r="G157" s="60"/>
      <c r="H157" s="60"/>
      <c r="I157" s="60"/>
      <c r="J157" s="60"/>
      <c r="K157" s="60"/>
      <c r="L157" s="60"/>
      <c r="M157" s="61">
        <f>SUM(C157)</f>
        <v>3295683</v>
      </c>
    </row>
    <row r="158" spans="1:13" ht="16.5">
      <c r="A158" s="58"/>
      <c r="B158" s="59" t="s">
        <v>325</v>
      </c>
      <c r="C158" s="60">
        <f>11716977+2515000</f>
        <v>14231977</v>
      </c>
      <c r="D158" s="60"/>
      <c r="E158" s="60"/>
      <c r="F158" s="60"/>
      <c r="G158" s="60"/>
      <c r="H158" s="60"/>
      <c r="I158" s="60"/>
      <c r="J158" s="60"/>
      <c r="K158" s="60"/>
      <c r="L158" s="60"/>
      <c r="M158" s="61">
        <f>SUM(C158)</f>
        <v>14231977</v>
      </c>
    </row>
    <row r="159" spans="1:13" ht="16.5">
      <c r="A159" s="58" t="s">
        <v>831</v>
      </c>
      <c r="B159" s="59" t="s">
        <v>567</v>
      </c>
      <c r="C159" s="60">
        <f>SUM(C160:C161)</f>
        <v>45819960</v>
      </c>
      <c r="D159" s="60">
        <v>0</v>
      </c>
      <c r="E159" s="60">
        <v>0</v>
      </c>
      <c r="F159" s="60">
        <v>0</v>
      </c>
      <c r="G159" s="60">
        <v>0</v>
      </c>
      <c r="H159" s="60">
        <v>0</v>
      </c>
      <c r="I159" s="60">
        <v>0</v>
      </c>
      <c r="J159" s="60">
        <v>0</v>
      </c>
      <c r="K159" s="60">
        <v>0</v>
      </c>
      <c r="L159" s="60"/>
      <c r="M159" s="61">
        <f>C159+F159</f>
        <v>45819960</v>
      </c>
    </row>
    <row r="160" spans="1:13" ht="33">
      <c r="A160" s="58"/>
      <c r="B160" s="59" t="s">
        <v>324</v>
      </c>
      <c r="C160" s="60">
        <v>10118792</v>
      </c>
      <c r="D160" s="60"/>
      <c r="E160" s="60"/>
      <c r="F160" s="60"/>
      <c r="G160" s="60"/>
      <c r="H160" s="60"/>
      <c r="I160" s="60"/>
      <c r="J160" s="60"/>
      <c r="K160" s="60"/>
      <c r="L160" s="60"/>
      <c r="M160" s="61">
        <f>SUM(C160)</f>
        <v>10118792</v>
      </c>
    </row>
    <row r="161" spans="1:13" ht="16.5">
      <c r="A161" s="58"/>
      <c r="B161" s="59" t="s">
        <v>325</v>
      </c>
      <c r="C161" s="60">
        <f>30671168+5030000</f>
        <v>35701168</v>
      </c>
      <c r="D161" s="60"/>
      <c r="E161" s="60"/>
      <c r="F161" s="60"/>
      <c r="G161" s="60"/>
      <c r="H161" s="60"/>
      <c r="I161" s="60"/>
      <c r="J161" s="60"/>
      <c r="K161" s="60"/>
      <c r="L161" s="60"/>
      <c r="M161" s="61">
        <f>SUM(C161)</f>
        <v>35701168</v>
      </c>
    </row>
    <row r="162" spans="1:13" ht="16.5">
      <c r="A162" s="58" t="s">
        <v>832</v>
      </c>
      <c r="B162" s="59" t="s">
        <v>568</v>
      </c>
      <c r="C162" s="60">
        <f>SUM(C163:C164)</f>
        <v>2753060</v>
      </c>
      <c r="D162" s="60">
        <v>0</v>
      </c>
      <c r="E162" s="60">
        <v>0</v>
      </c>
      <c r="F162" s="60">
        <v>0</v>
      </c>
      <c r="G162" s="60">
        <v>0</v>
      </c>
      <c r="H162" s="60">
        <v>0</v>
      </c>
      <c r="I162" s="60">
        <v>0</v>
      </c>
      <c r="J162" s="60">
        <v>0</v>
      </c>
      <c r="K162" s="60">
        <v>0</v>
      </c>
      <c r="L162" s="60"/>
      <c r="M162" s="61">
        <f>C162+F162</f>
        <v>2753060</v>
      </c>
    </row>
    <row r="163" spans="1:13" ht="33">
      <c r="A163" s="58"/>
      <c r="B163" s="59" t="s">
        <v>324</v>
      </c>
      <c r="C163" s="60">
        <v>602965</v>
      </c>
      <c r="D163" s="60"/>
      <c r="E163" s="60"/>
      <c r="F163" s="60"/>
      <c r="G163" s="60"/>
      <c r="H163" s="60"/>
      <c r="I163" s="60"/>
      <c r="J163" s="60"/>
      <c r="K163" s="60"/>
      <c r="L163" s="60"/>
      <c r="M163" s="61">
        <f>SUM(C163)</f>
        <v>602965</v>
      </c>
    </row>
    <row r="164" spans="1:13" ht="16.5">
      <c r="A164" s="58"/>
      <c r="B164" s="59" t="s">
        <v>325</v>
      </c>
      <c r="C164" s="60">
        <f>1995095+155000</f>
        <v>2150095</v>
      </c>
      <c r="D164" s="60"/>
      <c r="E164" s="60"/>
      <c r="F164" s="60"/>
      <c r="G164" s="60"/>
      <c r="H164" s="60"/>
      <c r="I164" s="60"/>
      <c r="J164" s="60"/>
      <c r="K164" s="60"/>
      <c r="L164" s="60"/>
      <c r="M164" s="61">
        <f>SUM(C164)</f>
        <v>2150095</v>
      </c>
    </row>
    <row r="165" spans="1:13" ht="16.5">
      <c r="A165" s="58" t="s">
        <v>833</v>
      </c>
      <c r="B165" s="59" t="s">
        <v>792</v>
      </c>
      <c r="C165" s="60">
        <f>SUM(C166:C167)</f>
        <v>831460</v>
      </c>
      <c r="D165" s="60">
        <v>0</v>
      </c>
      <c r="E165" s="60">
        <v>0</v>
      </c>
      <c r="F165" s="60">
        <v>0</v>
      </c>
      <c r="G165" s="60">
        <v>0</v>
      </c>
      <c r="H165" s="60">
        <v>0</v>
      </c>
      <c r="I165" s="60">
        <v>0</v>
      </c>
      <c r="J165" s="60">
        <v>0</v>
      </c>
      <c r="K165" s="60">
        <v>0</v>
      </c>
      <c r="L165" s="60"/>
      <c r="M165" s="61">
        <f>C165+F165</f>
        <v>831460</v>
      </c>
    </row>
    <row r="166" spans="1:13" ht="33">
      <c r="A166" s="58"/>
      <c r="B166" s="59" t="s">
        <v>324</v>
      </c>
      <c r="C166" s="60">
        <v>200119</v>
      </c>
      <c r="D166" s="60"/>
      <c r="E166" s="60"/>
      <c r="F166" s="60"/>
      <c r="G166" s="60"/>
      <c r="H166" s="60"/>
      <c r="I166" s="60"/>
      <c r="J166" s="60"/>
      <c r="K166" s="60"/>
      <c r="L166" s="60"/>
      <c r="M166" s="61">
        <f>SUM(C166)</f>
        <v>200119</v>
      </c>
    </row>
    <row r="167" spans="1:13" ht="16.5">
      <c r="A167" s="58"/>
      <c r="B167" s="59" t="s">
        <v>325</v>
      </c>
      <c r="C167" s="60">
        <f>1126841-495500</f>
        <v>631341</v>
      </c>
      <c r="D167" s="60"/>
      <c r="E167" s="60"/>
      <c r="F167" s="60"/>
      <c r="G167" s="60"/>
      <c r="H167" s="60"/>
      <c r="I167" s="60"/>
      <c r="J167" s="60"/>
      <c r="K167" s="60"/>
      <c r="L167" s="60"/>
      <c r="M167" s="61">
        <f>SUM(C167)</f>
        <v>631341</v>
      </c>
    </row>
    <row r="168" spans="1:13" ht="33">
      <c r="A168" s="58" t="s">
        <v>834</v>
      </c>
      <c r="B168" s="59" t="s">
        <v>311</v>
      </c>
      <c r="C168" s="60">
        <f>SUM(C169:C170)</f>
        <v>41942980</v>
      </c>
      <c r="D168" s="60">
        <v>0</v>
      </c>
      <c r="E168" s="60">
        <v>0</v>
      </c>
      <c r="F168" s="60">
        <v>0</v>
      </c>
      <c r="G168" s="60">
        <v>0</v>
      </c>
      <c r="H168" s="60">
        <v>0</v>
      </c>
      <c r="I168" s="60">
        <v>0</v>
      </c>
      <c r="J168" s="60">
        <v>0</v>
      </c>
      <c r="K168" s="60">
        <v>0</v>
      </c>
      <c r="L168" s="60"/>
      <c r="M168" s="61">
        <f>C168+F168</f>
        <v>41942980</v>
      </c>
    </row>
    <row r="169" spans="1:13" ht="33">
      <c r="A169" s="58"/>
      <c r="B169" s="59" t="s">
        <v>324</v>
      </c>
      <c r="C169" s="60">
        <v>9210516</v>
      </c>
      <c r="D169" s="60"/>
      <c r="E169" s="60"/>
      <c r="F169" s="60"/>
      <c r="G169" s="60"/>
      <c r="H169" s="60"/>
      <c r="I169" s="60"/>
      <c r="J169" s="60"/>
      <c r="K169" s="60"/>
      <c r="L169" s="60"/>
      <c r="M169" s="61">
        <f>SUM(C169)</f>
        <v>9210516</v>
      </c>
    </row>
    <row r="170" spans="1:13" ht="16.5">
      <c r="A170" s="58"/>
      <c r="B170" s="59" t="s">
        <v>325</v>
      </c>
      <c r="C170" s="60">
        <f>18632464+14100000</f>
        <v>32732464</v>
      </c>
      <c r="D170" s="60"/>
      <c r="E170" s="60"/>
      <c r="F170" s="60"/>
      <c r="G170" s="60"/>
      <c r="H170" s="60"/>
      <c r="I170" s="60"/>
      <c r="J170" s="60"/>
      <c r="K170" s="60"/>
      <c r="L170" s="60"/>
      <c r="M170" s="61">
        <f>SUM(C170)</f>
        <v>32732464</v>
      </c>
    </row>
    <row r="171" spans="1:13" ht="33">
      <c r="A171" s="58" t="s">
        <v>771</v>
      </c>
      <c r="B171" s="59" t="s">
        <v>569</v>
      </c>
      <c r="C171" s="60">
        <f>SUM(C172:C173)</f>
        <v>6633800</v>
      </c>
      <c r="D171" s="60">
        <v>0</v>
      </c>
      <c r="E171" s="60">
        <v>0</v>
      </c>
      <c r="F171" s="60">
        <v>0</v>
      </c>
      <c r="G171" s="60">
        <v>0</v>
      </c>
      <c r="H171" s="60">
        <v>0</v>
      </c>
      <c r="I171" s="60">
        <v>0</v>
      </c>
      <c r="J171" s="60">
        <v>0</v>
      </c>
      <c r="K171" s="60">
        <v>0</v>
      </c>
      <c r="L171" s="60"/>
      <c r="M171" s="61">
        <f>C171+F171</f>
        <v>6633800</v>
      </c>
    </row>
    <row r="172" spans="1:13" ht="33">
      <c r="A172" s="58"/>
      <c r="B172" s="59" t="s">
        <v>324</v>
      </c>
      <c r="C172" s="60">
        <v>871530</v>
      </c>
      <c r="D172" s="60"/>
      <c r="E172" s="60"/>
      <c r="F172" s="60"/>
      <c r="G172" s="60"/>
      <c r="H172" s="60"/>
      <c r="I172" s="60"/>
      <c r="J172" s="60"/>
      <c r="K172" s="60"/>
      <c r="L172" s="60"/>
      <c r="M172" s="61">
        <f>SUM(C172)</f>
        <v>871530</v>
      </c>
    </row>
    <row r="173" spans="1:13" ht="16.5">
      <c r="A173" s="58"/>
      <c r="B173" s="59" t="s">
        <v>325</v>
      </c>
      <c r="C173" s="60">
        <f>8062270-2300000</f>
        <v>5762270</v>
      </c>
      <c r="D173" s="60"/>
      <c r="E173" s="60"/>
      <c r="F173" s="60"/>
      <c r="G173" s="60"/>
      <c r="H173" s="60"/>
      <c r="I173" s="60"/>
      <c r="J173" s="60"/>
      <c r="K173" s="60"/>
      <c r="L173" s="60"/>
      <c r="M173" s="61">
        <f>SUM(C173)</f>
        <v>5762270</v>
      </c>
    </row>
    <row r="174" spans="1:13" ht="69.75" customHeight="1">
      <c r="A174" s="58" t="s">
        <v>75</v>
      </c>
      <c r="B174" s="59" t="s">
        <v>791</v>
      </c>
      <c r="C174" s="60">
        <f>SUM(C175:C176)</f>
        <v>307358.02</v>
      </c>
      <c r="D174" s="60">
        <v>0</v>
      </c>
      <c r="E174" s="60">
        <v>0</v>
      </c>
      <c r="F174" s="60">
        <v>0</v>
      </c>
      <c r="G174" s="60">
        <v>0</v>
      </c>
      <c r="H174" s="60">
        <v>0</v>
      </c>
      <c r="I174" s="60">
        <v>0</v>
      </c>
      <c r="J174" s="60">
        <v>0</v>
      </c>
      <c r="K174" s="60">
        <v>0</v>
      </c>
      <c r="L174" s="60"/>
      <c r="M174" s="61">
        <f>C174+F174</f>
        <v>307358.02</v>
      </c>
    </row>
    <row r="175" spans="1:13" ht="33">
      <c r="A175" s="58"/>
      <c r="B175" s="59" t="s">
        <v>324</v>
      </c>
      <c r="C175" s="60">
        <v>74066</v>
      </c>
      <c r="D175" s="60"/>
      <c r="E175" s="60"/>
      <c r="F175" s="60"/>
      <c r="G175" s="60"/>
      <c r="H175" s="60"/>
      <c r="I175" s="60"/>
      <c r="J175" s="60"/>
      <c r="K175" s="60"/>
      <c r="L175" s="60"/>
      <c r="M175" s="61">
        <f>SUM(C175)</f>
        <v>74066</v>
      </c>
    </row>
    <row r="176" spans="1:13" ht="16.5">
      <c r="A176" s="58"/>
      <c r="B176" s="59" t="s">
        <v>325</v>
      </c>
      <c r="C176" s="60">
        <f>24278+714+30046.35+20040.61+158213.06</f>
        <v>233292.02</v>
      </c>
      <c r="D176" s="60"/>
      <c r="E176" s="60"/>
      <c r="F176" s="60"/>
      <c r="G176" s="60"/>
      <c r="H176" s="60"/>
      <c r="I176" s="60"/>
      <c r="J176" s="60"/>
      <c r="K176" s="60"/>
      <c r="L176" s="60"/>
      <c r="M176" s="61">
        <f>SUM(C176)</f>
        <v>233292.02</v>
      </c>
    </row>
    <row r="177" spans="1:13" ht="33">
      <c r="A177" s="58" t="s">
        <v>835</v>
      </c>
      <c r="B177" s="59" t="s">
        <v>583</v>
      </c>
      <c r="C177" s="60">
        <f>SUM(C178+C179+C180)+1806156-54000-12400</f>
        <v>3432926</v>
      </c>
      <c r="D177" s="60">
        <v>0</v>
      </c>
      <c r="E177" s="60">
        <v>0</v>
      </c>
      <c r="F177" s="60">
        <v>0</v>
      </c>
      <c r="G177" s="60">
        <v>0</v>
      </c>
      <c r="H177" s="60">
        <v>0</v>
      </c>
      <c r="I177" s="60">
        <v>0</v>
      </c>
      <c r="J177" s="60">
        <v>0</v>
      </c>
      <c r="K177" s="60">
        <v>0</v>
      </c>
      <c r="L177" s="60"/>
      <c r="M177" s="61">
        <f>C177+F177</f>
        <v>3432926</v>
      </c>
    </row>
    <row r="178" spans="1:13" ht="85.5" customHeight="1">
      <c r="A178" s="58"/>
      <c r="B178" s="59" t="s">
        <v>656</v>
      </c>
      <c r="C178" s="76">
        <f>1543940-11500</f>
        <v>1532440</v>
      </c>
      <c r="D178" s="60"/>
      <c r="E178" s="60"/>
      <c r="F178" s="60"/>
      <c r="G178" s="60"/>
      <c r="H178" s="60"/>
      <c r="I178" s="60"/>
      <c r="J178" s="60"/>
      <c r="K178" s="60"/>
      <c r="L178" s="60"/>
      <c r="M178" s="61">
        <f>SUM(C178)</f>
        <v>1532440</v>
      </c>
    </row>
    <row r="179" spans="1:13" ht="49.5">
      <c r="A179" s="58"/>
      <c r="B179" s="59" t="s">
        <v>452</v>
      </c>
      <c r="C179" s="76">
        <v>8930</v>
      </c>
      <c r="D179" s="60"/>
      <c r="E179" s="60"/>
      <c r="F179" s="60"/>
      <c r="G179" s="60"/>
      <c r="H179" s="60"/>
      <c r="I179" s="60"/>
      <c r="J179" s="60"/>
      <c r="K179" s="60"/>
      <c r="L179" s="60"/>
      <c r="M179" s="61">
        <f>SUM(C179)</f>
        <v>8930</v>
      </c>
    </row>
    <row r="180" spans="1:13" ht="139.5" customHeight="1">
      <c r="A180" s="58"/>
      <c r="B180" s="59" t="s">
        <v>699</v>
      </c>
      <c r="C180" s="76">
        <f>193800-42000</f>
        <v>151800</v>
      </c>
      <c r="D180" s="60"/>
      <c r="E180" s="60"/>
      <c r="F180" s="60"/>
      <c r="G180" s="60"/>
      <c r="H180" s="60"/>
      <c r="I180" s="60"/>
      <c r="J180" s="60"/>
      <c r="K180" s="60"/>
      <c r="L180" s="60"/>
      <c r="M180" s="61">
        <f>SUM(C180)</f>
        <v>151800</v>
      </c>
    </row>
    <row r="181" spans="1:13" ht="33">
      <c r="A181" s="58" t="s">
        <v>836</v>
      </c>
      <c r="B181" s="59" t="s">
        <v>130</v>
      </c>
      <c r="C181" s="60">
        <f>SUM(C182)</f>
        <v>4982540</v>
      </c>
      <c r="D181" s="60">
        <v>0</v>
      </c>
      <c r="E181" s="60">
        <v>0</v>
      </c>
      <c r="F181" s="60">
        <v>0</v>
      </c>
      <c r="G181" s="60">
        <v>0</v>
      </c>
      <c r="H181" s="60">
        <v>0</v>
      </c>
      <c r="I181" s="60">
        <v>0</v>
      </c>
      <c r="J181" s="60">
        <v>0</v>
      </c>
      <c r="K181" s="60">
        <v>0</v>
      </c>
      <c r="L181" s="60"/>
      <c r="M181" s="61">
        <f>C181+F181</f>
        <v>4982540</v>
      </c>
    </row>
    <row r="182" spans="1:13" ht="53.25" customHeight="1">
      <c r="A182" s="58"/>
      <c r="B182" s="59" t="s">
        <v>930</v>
      </c>
      <c r="C182" s="60">
        <f>5522540-540000</f>
        <v>4982540</v>
      </c>
      <c r="D182" s="60"/>
      <c r="E182" s="60"/>
      <c r="F182" s="60"/>
      <c r="G182" s="60"/>
      <c r="H182" s="60"/>
      <c r="I182" s="60"/>
      <c r="J182" s="60"/>
      <c r="K182" s="60"/>
      <c r="L182" s="60"/>
      <c r="M182" s="61">
        <f>SUM(C182)</f>
        <v>4982540</v>
      </c>
    </row>
    <row r="183" spans="1:13" ht="90" customHeight="1">
      <c r="A183" s="58" t="s">
        <v>242</v>
      </c>
      <c r="B183" s="59" t="s">
        <v>786</v>
      </c>
      <c r="C183" s="60">
        <f>SUM(C184:C185)</f>
        <v>46769.39</v>
      </c>
      <c r="D183" s="60">
        <v>0</v>
      </c>
      <c r="E183" s="60">
        <v>0</v>
      </c>
      <c r="F183" s="60">
        <v>0</v>
      </c>
      <c r="G183" s="60">
        <v>0</v>
      </c>
      <c r="H183" s="60">
        <v>0</v>
      </c>
      <c r="I183" s="60">
        <v>0</v>
      </c>
      <c r="J183" s="60">
        <v>0</v>
      </c>
      <c r="K183" s="60">
        <v>0</v>
      </c>
      <c r="L183" s="60"/>
      <c r="M183" s="61">
        <f>C183+F183</f>
        <v>46769.39</v>
      </c>
    </row>
    <row r="184" spans="1:13" ht="33">
      <c r="A184" s="58"/>
      <c r="B184" s="59" t="s">
        <v>324</v>
      </c>
      <c r="C184" s="60">
        <v>17134</v>
      </c>
      <c r="D184" s="60"/>
      <c r="E184" s="60"/>
      <c r="F184" s="60"/>
      <c r="G184" s="60"/>
      <c r="H184" s="60"/>
      <c r="I184" s="60"/>
      <c r="J184" s="60"/>
      <c r="K184" s="60"/>
      <c r="L184" s="60"/>
      <c r="M184" s="61">
        <f>SUM(C184)</f>
        <v>17134</v>
      </c>
    </row>
    <row r="185" spans="1:13" ht="16.5">
      <c r="A185" s="58"/>
      <c r="B185" s="59" t="s">
        <v>325</v>
      </c>
      <c r="C185" s="60">
        <f>23526+39.65-3486-5248+3667.89+11135.85</f>
        <v>29635.39</v>
      </c>
      <c r="D185" s="60"/>
      <c r="E185" s="60"/>
      <c r="F185" s="60"/>
      <c r="G185" s="60"/>
      <c r="H185" s="60"/>
      <c r="I185" s="60"/>
      <c r="J185" s="60"/>
      <c r="K185" s="60"/>
      <c r="L185" s="60"/>
      <c r="M185" s="61">
        <f>SUM(C185)</f>
        <v>29635.39</v>
      </c>
    </row>
    <row r="186" spans="1:13" ht="49.5">
      <c r="A186" s="58" t="s">
        <v>841</v>
      </c>
      <c r="B186" s="59" t="s">
        <v>793</v>
      </c>
      <c r="C186" s="60">
        <v>810920</v>
      </c>
      <c r="D186" s="60">
        <v>0</v>
      </c>
      <c r="E186" s="60">
        <v>0</v>
      </c>
      <c r="F186" s="60">
        <v>0</v>
      </c>
      <c r="G186" s="60">
        <v>0</v>
      </c>
      <c r="H186" s="60">
        <v>0</v>
      </c>
      <c r="I186" s="60">
        <v>0</v>
      </c>
      <c r="J186" s="60">
        <v>0</v>
      </c>
      <c r="K186" s="60">
        <v>0</v>
      </c>
      <c r="L186" s="60"/>
      <c r="M186" s="61">
        <f>C186+F186</f>
        <v>810920</v>
      </c>
    </row>
    <row r="187" spans="1:13" ht="101.25" customHeight="1">
      <c r="A187" s="58" t="s">
        <v>285</v>
      </c>
      <c r="B187" s="59" t="s">
        <v>765</v>
      </c>
      <c r="C187" s="60">
        <f>45220-45200</f>
        <v>20</v>
      </c>
      <c r="D187" s="60">
        <v>0</v>
      </c>
      <c r="E187" s="60">
        <v>0</v>
      </c>
      <c r="F187" s="60">
        <v>0</v>
      </c>
      <c r="G187" s="60">
        <v>0</v>
      </c>
      <c r="H187" s="60">
        <v>0</v>
      </c>
      <c r="I187" s="60">
        <v>0</v>
      </c>
      <c r="J187" s="60">
        <v>0</v>
      </c>
      <c r="K187" s="60">
        <v>0</v>
      </c>
      <c r="L187" s="60"/>
      <c r="M187" s="61">
        <f>C187+F187</f>
        <v>20</v>
      </c>
    </row>
    <row r="188" spans="1:13" ht="51.75" customHeight="1">
      <c r="A188" s="58" t="s">
        <v>842</v>
      </c>
      <c r="B188" s="59" t="s">
        <v>933</v>
      </c>
      <c r="C188" s="60">
        <f>14140230+9169400</f>
        <v>23309630</v>
      </c>
      <c r="D188" s="60">
        <f>10056700+6727400</f>
        <v>16784100</v>
      </c>
      <c r="E188" s="60">
        <v>286140</v>
      </c>
      <c r="F188" s="60">
        <v>79800</v>
      </c>
      <c r="G188" s="60">
        <v>79800</v>
      </c>
      <c r="H188" s="60">
        <v>52820</v>
      </c>
      <c r="I188" s="60">
        <v>0</v>
      </c>
      <c r="J188" s="60">
        <v>0</v>
      </c>
      <c r="K188" s="60">
        <v>0</v>
      </c>
      <c r="L188" s="60"/>
      <c r="M188" s="61">
        <f>C188+F188</f>
        <v>23389430</v>
      </c>
    </row>
    <row r="189" spans="1:13" ht="121.5" customHeight="1">
      <c r="A189" s="58" t="s">
        <v>843</v>
      </c>
      <c r="B189" s="59" t="s">
        <v>188</v>
      </c>
      <c r="C189" s="60">
        <f>2026920+54000</f>
        <v>2080920</v>
      </c>
      <c r="D189" s="60">
        <v>0</v>
      </c>
      <c r="E189" s="60">
        <v>0</v>
      </c>
      <c r="F189" s="60">
        <v>0</v>
      </c>
      <c r="G189" s="60">
        <v>0</v>
      </c>
      <c r="H189" s="60">
        <v>0</v>
      </c>
      <c r="I189" s="60">
        <v>0</v>
      </c>
      <c r="J189" s="60">
        <v>0</v>
      </c>
      <c r="K189" s="60">
        <v>0</v>
      </c>
      <c r="L189" s="60"/>
      <c r="M189" s="61">
        <f>C189+F189</f>
        <v>2080920</v>
      </c>
    </row>
    <row r="190" spans="1:13" ht="121.5" customHeight="1">
      <c r="A190" s="58" t="s">
        <v>131</v>
      </c>
      <c r="B190" s="59" t="s">
        <v>458</v>
      </c>
      <c r="C190" s="60">
        <f>SUM(C191:C193)</f>
        <v>2655110</v>
      </c>
      <c r="D190" s="60">
        <v>0</v>
      </c>
      <c r="E190" s="60">
        <v>0</v>
      </c>
      <c r="F190" s="60">
        <v>0</v>
      </c>
      <c r="G190" s="60">
        <v>0</v>
      </c>
      <c r="H190" s="60">
        <v>0</v>
      </c>
      <c r="I190" s="60">
        <v>0</v>
      </c>
      <c r="J190" s="60">
        <v>0</v>
      </c>
      <c r="K190" s="60">
        <v>0</v>
      </c>
      <c r="L190" s="60"/>
      <c r="M190" s="61">
        <f>C190+F190</f>
        <v>2655110</v>
      </c>
    </row>
    <row r="191" spans="1:13" ht="66">
      <c r="A191" s="58"/>
      <c r="B191" s="59" t="s">
        <v>794</v>
      </c>
      <c r="C191" s="76">
        <v>2598630</v>
      </c>
      <c r="D191" s="60"/>
      <c r="E191" s="60"/>
      <c r="F191" s="60"/>
      <c r="G191" s="60"/>
      <c r="H191" s="60"/>
      <c r="I191" s="60"/>
      <c r="J191" s="60"/>
      <c r="K191" s="60"/>
      <c r="L191" s="60"/>
      <c r="M191" s="61">
        <f>SUM(C191)</f>
        <v>2598630</v>
      </c>
    </row>
    <row r="192" spans="1:13" ht="104.25" customHeight="1">
      <c r="A192" s="58"/>
      <c r="B192" s="59" t="s">
        <v>795</v>
      </c>
      <c r="C192" s="76">
        <v>40660</v>
      </c>
      <c r="D192" s="60"/>
      <c r="E192" s="60"/>
      <c r="F192" s="60"/>
      <c r="G192" s="60"/>
      <c r="H192" s="60"/>
      <c r="I192" s="60"/>
      <c r="J192" s="60"/>
      <c r="K192" s="60"/>
      <c r="L192" s="60"/>
      <c r="M192" s="61">
        <f>SUM(C192)</f>
        <v>40660</v>
      </c>
    </row>
    <row r="193" spans="1:13" ht="204.75" customHeight="1">
      <c r="A193" s="58"/>
      <c r="B193" s="59" t="s">
        <v>451</v>
      </c>
      <c r="C193" s="76">
        <f>3420+12400</f>
        <v>15820</v>
      </c>
      <c r="D193" s="60"/>
      <c r="E193" s="60"/>
      <c r="F193" s="60"/>
      <c r="G193" s="60"/>
      <c r="H193" s="60"/>
      <c r="I193" s="60"/>
      <c r="J193" s="60"/>
      <c r="K193" s="60"/>
      <c r="L193" s="60"/>
      <c r="M193" s="61">
        <f>SUM(C193)</f>
        <v>15820</v>
      </c>
    </row>
    <row r="194" spans="1:13" ht="36" customHeight="1">
      <c r="A194" s="58" t="s">
        <v>844</v>
      </c>
      <c r="B194" s="59" t="s">
        <v>573</v>
      </c>
      <c r="C194" s="60">
        <f>485640-48000</f>
        <v>437640</v>
      </c>
      <c r="D194" s="60">
        <v>0</v>
      </c>
      <c r="E194" s="60">
        <v>0</v>
      </c>
      <c r="F194" s="60">
        <v>0</v>
      </c>
      <c r="G194" s="60">
        <v>0</v>
      </c>
      <c r="H194" s="60">
        <v>0</v>
      </c>
      <c r="I194" s="60">
        <v>0</v>
      </c>
      <c r="J194" s="60">
        <v>0</v>
      </c>
      <c r="K194" s="60">
        <v>0</v>
      </c>
      <c r="L194" s="60"/>
      <c r="M194" s="61">
        <f>C194+F194</f>
        <v>437640</v>
      </c>
    </row>
    <row r="195" spans="1:13" ht="33">
      <c r="A195" s="58" t="s">
        <v>845</v>
      </c>
      <c r="B195" s="59" t="s">
        <v>787</v>
      </c>
      <c r="C195" s="60">
        <f>SUM(C196:C197)</f>
        <v>70427660</v>
      </c>
      <c r="D195" s="60">
        <v>0</v>
      </c>
      <c r="E195" s="60">
        <v>0</v>
      </c>
      <c r="F195" s="60">
        <v>0</v>
      </c>
      <c r="G195" s="60">
        <v>0</v>
      </c>
      <c r="H195" s="60">
        <v>0</v>
      </c>
      <c r="I195" s="60">
        <v>0</v>
      </c>
      <c r="J195" s="60">
        <v>0</v>
      </c>
      <c r="K195" s="60">
        <v>0</v>
      </c>
      <c r="L195" s="60"/>
      <c r="M195" s="61">
        <f>C195+F195</f>
        <v>70427660</v>
      </c>
    </row>
    <row r="196" spans="1:13" ht="33">
      <c r="A196" s="58"/>
      <c r="B196" s="59" t="s">
        <v>324</v>
      </c>
      <c r="C196" s="60">
        <v>13299354</v>
      </c>
      <c r="D196" s="60"/>
      <c r="E196" s="60"/>
      <c r="F196" s="60"/>
      <c r="G196" s="60"/>
      <c r="H196" s="60"/>
      <c r="I196" s="60"/>
      <c r="J196" s="60"/>
      <c r="K196" s="60"/>
      <c r="L196" s="60"/>
      <c r="M196" s="61">
        <f>SUM(C196)</f>
        <v>13299354</v>
      </c>
    </row>
    <row r="197" spans="1:13" ht="16.5">
      <c r="A197" s="58"/>
      <c r="B197" s="59" t="s">
        <v>325</v>
      </c>
      <c r="C197" s="60">
        <f>41898306+15230000</f>
        <v>57128306</v>
      </c>
      <c r="D197" s="60"/>
      <c r="E197" s="60"/>
      <c r="F197" s="60"/>
      <c r="G197" s="60"/>
      <c r="H197" s="60"/>
      <c r="I197" s="60"/>
      <c r="J197" s="60"/>
      <c r="K197" s="60"/>
      <c r="L197" s="60"/>
      <c r="M197" s="61">
        <f>SUM(C197)</f>
        <v>57128306</v>
      </c>
    </row>
    <row r="198" spans="1:13" ht="66">
      <c r="A198" s="58" t="s">
        <v>846</v>
      </c>
      <c r="B198" s="59" t="s">
        <v>192</v>
      </c>
      <c r="C198" s="60">
        <v>239172</v>
      </c>
      <c r="D198" s="60">
        <v>0</v>
      </c>
      <c r="E198" s="60">
        <v>0</v>
      </c>
      <c r="F198" s="60">
        <v>0</v>
      </c>
      <c r="G198" s="60">
        <v>0</v>
      </c>
      <c r="H198" s="60">
        <v>0</v>
      </c>
      <c r="I198" s="60">
        <v>0</v>
      </c>
      <c r="J198" s="60">
        <v>0</v>
      </c>
      <c r="K198" s="60">
        <v>0</v>
      </c>
      <c r="L198" s="60"/>
      <c r="M198" s="61">
        <f>C198+F198</f>
        <v>239172</v>
      </c>
    </row>
    <row r="199" spans="1:13" ht="33">
      <c r="A199" s="58" t="s">
        <v>847</v>
      </c>
      <c r="B199" s="59" t="s">
        <v>54</v>
      </c>
      <c r="C199" s="60">
        <v>4788</v>
      </c>
      <c r="D199" s="60">
        <v>0</v>
      </c>
      <c r="E199" s="60">
        <v>0</v>
      </c>
      <c r="F199" s="60">
        <v>0</v>
      </c>
      <c r="G199" s="60">
        <v>0</v>
      </c>
      <c r="H199" s="60">
        <v>0</v>
      </c>
      <c r="I199" s="60">
        <v>0</v>
      </c>
      <c r="J199" s="60">
        <v>0</v>
      </c>
      <c r="K199" s="60">
        <v>0</v>
      </c>
      <c r="L199" s="60"/>
      <c r="M199" s="61">
        <f>C199+F199</f>
        <v>4788</v>
      </c>
    </row>
    <row r="200" spans="1:13" ht="33">
      <c r="A200" s="58" t="s">
        <v>849</v>
      </c>
      <c r="B200" s="59" t="s">
        <v>493</v>
      </c>
      <c r="C200" s="60">
        <v>20900</v>
      </c>
      <c r="D200" s="60">
        <v>0</v>
      </c>
      <c r="E200" s="60">
        <v>0</v>
      </c>
      <c r="F200" s="60">
        <v>0</v>
      </c>
      <c r="G200" s="60">
        <v>0</v>
      </c>
      <c r="H200" s="60">
        <v>0</v>
      </c>
      <c r="I200" s="60">
        <v>0</v>
      </c>
      <c r="J200" s="60">
        <v>0</v>
      </c>
      <c r="K200" s="60">
        <v>0</v>
      </c>
      <c r="L200" s="60"/>
      <c r="M200" s="61">
        <f>C200+F200</f>
        <v>20900</v>
      </c>
    </row>
    <row r="201" spans="1:13" ht="16.5">
      <c r="A201" s="58" t="s">
        <v>321</v>
      </c>
      <c r="B201" s="59" t="s">
        <v>572</v>
      </c>
      <c r="C201" s="60"/>
      <c r="D201" s="60"/>
      <c r="E201" s="60"/>
      <c r="F201" s="60">
        <f>SUM(J201)</f>
        <v>399900</v>
      </c>
      <c r="G201" s="60"/>
      <c r="H201" s="60"/>
      <c r="I201" s="60"/>
      <c r="J201" s="60">
        <v>399900</v>
      </c>
      <c r="K201" s="60">
        <v>399900</v>
      </c>
      <c r="L201" s="60"/>
      <c r="M201" s="61">
        <f>SUM(F201)</f>
        <v>399900</v>
      </c>
    </row>
    <row r="202" spans="1:13" ht="49.5">
      <c r="A202" s="58" t="s">
        <v>850</v>
      </c>
      <c r="B202" s="59" t="s">
        <v>766</v>
      </c>
      <c r="C202" s="60">
        <f>SUM(C203:C204)</f>
        <v>1520000</v>
      </c>
      <c r="D202" s="60">
        <v>0</v>
      </c>
      <c r="E202" s="60">
        <v>0</v>
      </c>
      <c r="F202" s="60">
        <v>0</v>
      </c>
      <c r="G202" s="60">
        <v>0</v>
      </c>
      <c r="H202" s="60">
        <v>0</v>
      </c>
      <c r="I202" s="60">
        <v>0</v>
      </c>
      <c r="J202" s="60">
        <v>0</v>
      </c>
      <c r="K202" s="60">
        <v>0</v>
      </c>
      <c r="L202" s="60"/>
      <c r="M202" s="61">
        <f>C202+F202</f>
        <v>1520000</v>
      </c>
    </row>
    <row r="203" spans="1:13" ht="33">
      <c r="A203" s="58"/>
      <c r="B203" s="59" t="s">
        <v>324</v>
      </c>
      <c r="C203" s="60">
        <v>52060</v>
      </c>
      <c r="D203" s="60"/>
      <c r="E203" s="60"/>
      <c r="F203" s="60"/>
      <c r="G203" s="60"/>
      <c r="H203" s="60"/>
      <c r="I203" s="60"/>
      <c r="J203" s="60"/>
      <c r="K203" s="60"/>
      <c r="L203" s="60"/>
      <c r="M203" s="61">
        <f>SUM(C203)</f>
        <v>52060</v>
      </c>
    </row>
    <row r="204" spans="1:13" ht="16.5">
      <c r="A204" s="58"/>
      <c r="B204" s="59" t="s">
        <v>325</v>
      </c>
      <c r="C204" s="60">
        <v>1467940</v>
      </c>
      <c r="D204" s="60"/>
      <c r="E204" s="60"/>
      <c r="F204" s="60"/>
      <c r="G204" s="60"/>
      <c r="H204" s="60"/>
      <c r="I204" s="60"/>
      <c r="J204" s="60"/>
      <c r="K204" s="60"/>
      <c r="L204" s="60"/>
      <c r="M204" s="61">
        <f>SUM(C204)</f>
        <v>1467940</v>
      </c>
    </row>
    <row r="205" spans="1:13" ht="49.5">
      <c r="A205" s="58" t="s">
        <v>248</v>
      </c>
      <c r="B205" s="59" t="s">
        <v>767</v>
      </c>
      <c r="C205" s="60">
        <f>SUM(C206)</f>
        <v>0</v>
      </c>
      <c r="D205" s="60">
        <v>0</v>
      </c>
      <c r="E205" s="60">
        <v>0</v>
      </c>
      <c r="F205" s="60">
        <v>0</v>
      </c>
      <c r="G205" s="60">
        <v>0</v>
      </c>
      <c r="H205" s="60">
        <v>0</v>
      </c>
      <c r="I205" s="60">
        <v>0</v>
      </c>
      <c r="J205" s="60">
        <v>0</v>
      </c>
      <c r="K205" s="60">
        <v>0</v>
      </c>
      <c r="L205" s="60"/>
      <c r="M205" s="61">
        <f>C205+F205</f>
        <v>0</v>
      </c>
    </row>
    <row r="206" spans="1:13" ht="16.5">
      <c r="A206" s="58"/>
      <c r="B206" s="59" t="s">
        <v>325</v>
      </c>
      <c r="C206" s="60">
        <f>1330000-1330000</f>
        <v>0</v>
      </c>
      <c r="D206" s="60"/>
      <c r="E206" s="60"/>
      <c r="F206" s="60"/>
      <c r="G206" s="60"/>
      <c r="H206" s="60"/>
      <c r="I206" s="60"/>
      <c r="J206" s="60"/>
      <c r="K206" s="60"/>
      <c r="L206" s="60"/>
      <c r="M206" s="61">
        <f>SUM(C206)</f>
        <v>0</v>
      </c>
    </row>
    <row r="207" spans="1:13" ht="49.5">
      <c r="A207" s="58" t="s">
        <v>249</v>
      </c>
      <c r="B207" s="59" t="s">
        <v>788</v>
      </c>
      <c r="C207" s="60">
        <f>SUM(C208:C209)</f>
        <v>26893738</v>
      </c>
      <c r="D207" s="60">
        <v>0</v>
      </c>
      <c r="E207" s="60">
        <v>0</v>
      </c>
      <c r="F207" s="60">
        <v>0</v>
      </c>
      <c r="G207" s="60">
        <v>0</v>
      </c>
      <c r="H207" s="60">
        <v>0</v>
      </c>
      <c r="I207" s="60">
        <v>0</v>
      </c>
      <c r="J207" s="60">
        <v>0</v>
      </c>
      <c r="K207" s="60">
        <v>0</v>
      </c>
      <c r="L207" s="60"/>
      <c r="M207" s="61">
        <f>C207+F207</f>
        <v>26893738</v>
      </c>
    </row>
    <row r="208" spans="1:13" ht="33">
      <c r="A208" s="58"/>
      <c r="B208" s="59" t="s">
        <v>324</v>
      </c>
      <c r="C208" s="60">
        <v>2757280</v>
      </c>
      <c r="D208" s="60"/>
      <c r="E208" s="60"/>
      <c r="F208" s="60"/>
      <c r="G208" s="60"/>
      <c r="H208" s="60"/>
      <c r="I208" s="60"/>
      <c r="J208" s="60"/>
      <c r="K208" s="60"/>
      <c r="L208" s="60"/>
      <c r="M208" s="61">
        <f>SUM(C208)</f>
        <v>2757280</v>
      </c>
    </row>
    <row r="209" spans="1:13" ht="16.5">
      <c r="A209" s="58"/>
      <c r="B209" s="59" t="s">
        <v>325</v>
      </c>
      <c r="C209" s="60">
        <f>20422720+3713738</f>
        <v>24136458</v>
      </c>
      <c r="D209" s="60"/>
      <c r="E209" s="60"/>
      <c r="F209" s="60"/>
      <c r="G209" s="60"/>
      <c r="H209" s="60"/>
      <c r="I209" s="60"/>
      <c r="J209" s="60"/>
      <c r="K209" s="60"/>
      <c r="L209" s="60"/>
      <c r="M209" s="61">
        <f>SUM(C209)</f>
        <v>24136458</v>
      </c>
    </row>
    <row r="210" spans="1:13" ht="39" customHeight="1">
      <c r="A210" s="73">
        <v>180410</v>
      </c>
      <c r="B210" s="59" t="s">
        <v>454</v>
      </c>
      <c r="C210" s="60">
        <f>SUM(C211)</f>
        <v>8870.4</v>
      </c>
      <c r="D210" s="60"/>
      <c r="E210" s="60"/>
      <c r="F210" s="60"/>
      <c r="G210" s="60"/>
      <c r="H210" s="60"/>
      <c r="I210" s="60"/>
      <c r="J210" s="60"/>
      <c r="K210" s="60"/>
      <c r="L210" s="60"/>
      <c r="M210" s="61">
        <f>SUM(M211)</f>
        <v>8870.4</v>
      </c>
    </row>
    <row r="211" spans="1:13" ht="86.25" customHeight="1">
      <c r="A211" s="73"/>
      <c r="B211" s="59" t="s">
        <v>34</v>
      </c>
      <c r="C211" s="60">
        <v>8870.4</v>
      </c>
      <c r="D211" s="60"/>
      <c r="E211" s="60"/>
      <c r="F211" s="60"/>
      <c r="G211" s="60"/>
      <c r="H211" s="60"/>
      <c r="I211" s="60"/>
      <c r="J211" s="60"/>
      <c r="K211" s="60"/>
      <c r="L211" s="60"/>
      <c r="M211" s="61">
        <f>C211+F211</f>
        <v>8870.4</v>
      </c>
    </row>
    <row r="212" spans="1:13" ht="66">
      <c r="A212" s="58" t="s">
        <v>276</v>
      </c>
      <c r="B212" s="59" t="s">
        <v>189</v>
      </c>
      <c r="C212" s="60">
        <v>0</v>
      </c>
      <c r="D212" s="60">
        <v>0</v>
      </c>
      <c r="E212" s="60">
        <v>0</v>
      </c>
      <c r="F212" s="60">
        <f>SUM(F213)</f>
        <v>1041257</v>
      </c>
      <c r="G212" s="60">
        <f>SUM(G213)</f>
        <v>685957</v>
      </c>
      <c r="H212" s="60">
        <v>0</v>
      </c>
      <c r="I212" s="60">
        <v>0</v>
      </c>
      <c r="J212" s="60">
        <v>355300</v>
      </c>
      <c r="K212" s="60">
        <v>0</v>
      </c>
      <c r="L212" s="60"/>
      <c r="M212" s="61">
        <f>C212+F212</f>
        <v>1041257</v>
      </c>
    </row>
    <row r="213" spans="1:13" ht="33">
      <c r="A213" s="58"/>
      <c r="B213" s="59" t="s">
        <v>803</v>
      </c>
      <c r="C213" s="60"/>
      <c r="D213" s="60"/>
      <c r="E213" s="60"/>
      <c r="F213" s="60">
        <f>SUM(G213+J213)</f>
        <v>1041257</v>
      </c>
      <c r="G213" s="60">
        <f>907957-200000-22000</f>
        <v>685957</v>
      </c>
      <c r="H213" s="60">
        <v>0</v>
      </c>
      <c r="I213" s="60">
        <v>0</v>
      </c>
      <c r="J213" s="60">
        <v>355300</v>
      </c>
      <c r="K213" s="60"/>
      <c r="L213" s="60"/>
      <c r="M213" s="61">
        <f>SUM(F213)</f>
        <v>1041257</v>
      </c>
    </row>
    <row r="214" spans="1:13" ht="16.5">
      <c r="A214" s="58" t="s">
        <v>277</v>
      </c>
      <c r="B214" s="59" t="s">
        <v>591</v>
      </c>
      <c r="C214" s="60">
        <v>1520</v>
      </c>
      <c r="D214" s="60">
        <v>0</v>
      </c>
      <c r="E214" s="60">
        <v>0</v>
      </c>
      <c r="F214" s="60">
        <v>0</v>
      </c>
      <c r="G214" s="60">
        <v>0</v>
      </c>
      <c r="H214" s="60">
        <v>0</v>
      </c>
      <c r="I214" s="60">
        <v>0</v>
      </c>
      <c r="J214" s="60">
        <v>0</v>
      </c>
      <c r="K214" s="60">
        <v>0</v>
      </c>
      <c r="L214" s="60"/>
      <c r="M214" s="61">
        <f>C214+F214</f>
        <v>1520</v>
      </c>
    </row>
    <row r="215" spans="1:13" ht="33">
      <c r="A215" s="55">
        <v>20</v>
      </c>
      <c r="B215" s="56" t="s">
        <v>187</v>
      </c>
      <c r="C215" s="57">
        <f>SUM(C216:C218)</f>
        <v>2750841.65</v>
      </c>
      <c r="D215" s="57">
        <f>SUM(D216:D218)</f>
        <v>2080232.52</v>
      </c>
      <c r="E215" s="57">
        <f>SUM(E216:E218)</f>
        <v>61820</v>
      </c>
      <c r="F215" s="57">
        <v>0</v>
      </c>
      <c r="G215" s="57">
        <v>0</v>
      </c>
      <c r="H215" s="57">
        <v>0</v>
      </c>
      <c r="I215" s="57">
        <v>0</v>
      </c>
      <c r="J215" s="57">
        <v>0</v>
      </c>
      <c r="K215" s="57">
        <v>0</v>
      </c>
      <c r="L215" s="57"/>
      <c r="M215" s="57">
        <f aca="true" t="shared" si="2" ref="M215:M279">C215+F215</f>
        <v>2750841.65</v>
      </c>
    </row>
    <row r="216" spans="1:13" ht="16.5">
      <c r="A216" s="58" t="s">
        <v>274</v>
      </c>
      <c r="B216" s="59" t="s">
        <v>497</v>
      </c>
      <c r="C216" s="60">
        <f>2175250+468669+18500+5540</f>
        <v>2667959</v>
      </c>
      <c r="D216" s="60">
        <f>1652620+343851+25500+25000</f>
        <v>2046971</v>
      </c>
      <c r="E216" s="60">
        <f>43320+18500</f>
        <v>61820</v>
      </c>
      <c r="F216" s="60">
        <v>0</v>
      </c>
      <c r="G216" s="60">
        <v>0</v>
      </c>
      <c r="H216" s="60">
        <v>0</v>
      </c>
      <c r="I216" s="60">
        <v>0</v>
      </c>
      <c r="J216" s="60">
        <v>0</v>
      </c>
      <c r="K216" s="60">
        <v>0</v>
      </c>
      <c r="L216" s="60"/>
      <c r="M216" s="61">
        <f t="shared" si="2"/>
        <v>2667959</v>
      </c>
    </row>
    <row r="217" spans="1:13" ht="33">
      <c r="A217" s="58" t="s">
        <v>825</v>
      </c>
      <c r="B217" s="59" t="s">
        <v>950</v>
      </c>
      <c r="C217" s="60">
        <f>222680-176657.35</f>
        <v>46022.649999999994</v>
      </c>
      <c r="D217" s="60">
        <f>163020-129758.48</f>
        <v>33261.520000000004</v>
      </c>
      <c r="E217" s="60">
        <v>0</v>
      </c>
      <c r="F217" s="60">
        <v>0</v>
      </c>
      <c r="G217" s="60">
        <v>0</v>
      </c>
      <c r="H217" s="60">
        <v>0</v>
      </c>
      <c r="I217" s="60">
        <v>0</v>
      </c>
      <c r="J217" s="60">
        <v>0</v>
      </c>
      <c r="K217" s="60">
        <v>0</v>
      </c>
      <c r="L217" s="60"/>
      <c r="M217" s="61">
        <f t="shared" si="2"/>
        <v>46022.649999999994</v>
      </c>
    </row>
    <row r="218" spans="1:13" ht="49.5">
      <c r="A218" s="58" t="s">
        <v>290</v>
      </c>
      <c r="B218" s="59" t="s">
        <v>949</v>
      </c>
      <c r="C218" s="60">
        <v>36860</v>
      </c>
      <c r="D218" s="60">
        <v>0</v>
      </c>
      <c r="E218" s="60">
        <v>0</v>
      </c>
      <c r="F218" s="60">
        <v>0</v>
      </c>
      <c r="G218" s="60">
        <v>0</v>
      </c>
      <c r="H218" s="60">
        <v>0</v>
      </c>
      <c r="I218" s="60">
        <v>0</v>
      </c>
      <c r="J218" s="60">
        <v>0</v>
      </c>
      <c r="K218" s="60">
        <v>0</v>
      </c>
      <c r="L218" s="60"/>
      <c r="M218" s="61">
        <f t="shared" si="2"/>
        <v>36860</v>
      </c>
    </row>
    <row r="219" spans="1:13" ht="49.5">
      <c r="A219" s="55">
        <v>21</v>
      </c>
      <c r="B219" s="56" t="s">
        <v>571</v>
      </c>
      <c r="C219" s="57">
        <f>SUM(C220:C223)</f>
        <v>3382173</v>
      </c>
      <c r="D219" s="57">
        <f>SUM(D220:D223)</f>
        <v>2000962</v>
      </c>
      <c r="E219" s="57">
        <f>SUM(E220:E223)</f>
        <v>52820</v>
      </c>
      <c r="F219" s="57">
        <f>SUM(F224+F225)</f>
        <v>1052507</v>
      </c>
      <c r="G219" s="57">
        <f>SUM(G225)</f>
        <v>140507</v>
      </c>
      <c r="H219" s="57">
        <v>0</v>
      </c>
      <c r="I219" s="57">
        <v>0</v>
      </c>
      <c r="J219" s="57">
        <f>SUM(J224)</f>
        <v>912000</v>
      </c>
      <c r="K219" s="57">
        <f>SUM(K224)</f>
        <v>912000</v>
      </c>
      <c r="L219" s="57"/>
      <c r="M219" s="57">
        <f t="shared" si="2"/>
        <v>4434680</v>
      </c>
    </row>
    <row r="220" spans="1:13" ht="16.5">
      <c r="A220" s="58" t="s">
        <v>274</v>
      </c>
      <c r="B220" s="59" t="s">
        <v>497</v>
      </c>
      <c r="C220" s="60">
        <f>2290457+452790-45000+5406</f>
        <v>2703653</v>
      </c>
      <c r="D220" s="60">
        <f>1599800+332201+44961+24000</f>
        <v>2000962</v>
      </c>
      <c r="E220" s="60">
        <v>52820</v>
      </c>
      <c r="F220" s="60">
        <v>0</v>
      </c>
      <c r="G220" s="60">
        <v>0</v>
      </c>
      <c r="H220" s="60">
        <v>0</v>
      </c>
      <c r="I220" s="60">
        <v>0</v>
      </c>
      <c r="J220" s="60">
        <v>0</v>
      </c>
      <c r="K220" s="60">
        <v>0</v>
      </c>
      <c r="L220" s="60"/>
      <c r="M220" s="61">
        <f t="shared" si="2"/>
        <v>2703653</v>
      </c>
    </row>
    <row r="221" spans="1:13" ht="33">
      <c r="A221" s="58" t="s">
        <v>250</v>
      </c>
      <c r="B221" s="59" t="s">
        <v>840</v>
      </c>
      <c r="C221" s="60">
        <f>441560+140600</f>
        <v>582160</v>
      </c>
      <c r="D221" s="60">
        <v>0</v>
      </c>
      <c r="E221" s="60">
        <v>0</v>
      </c>
      <c r="F221" s="60">
        <v>0</v>
      </c>
      <c r="G221" s="60">
        <v>0</v>
      </c>
      <c r="H221" s="60">
        <v>0</v>
      </c>
      <c r="I221" s="60">
        <v>0</v>
      </c>
      <c r="J221" s="60">
        <v>0</v>
      </c>
      <c r="K221" s="60">
        <v>0</v>
      </c>
      <c r="L221" s="60"/>
      <c r="M221" s="61">
        <f t="shared" si="2"/>
        <v>582160</v>
      </c>
    </row>
    <row r="222" spans="1:13" ht="33">
      <c r="A222" s="58" t="s">
        <v>849</v>
      </c>
      <c r="B222" s="59" t="s">
        <v>493</v>
      </c>
      <c r="C222" s="60">
        <f>146091-64000</f>
        <v>82091</v>
      </c>
      <c r="D222" s="60">
        <v>0</v>
      </c>
      <c r="E222" s="60">
        <v>0</v>
      </c>
      <c r="F222" s="60">
        <v>0</v>
      </c>
      <c r="G222" s="60">
        <v>0</v>
      </c>
      <c r="H222" s="60">
        <v>0</v>
      </c>
      <c r="I222" s="60">
        <v>0</v>
      </c>
      <c r="J222" s="60">
        <v>0</v>
      </c>
      <c r="K222" s="60">
        <v>0</v>
      </c>
      <c r="L222" s="60"/>
      <c r="M222" s="61">
        <f t="shared" si="2"/>
        <v>82091</v>
      </c>
    </row>
    <row r="223" spans="1:13" ht="33">
      <c r="A223" s="58" t="s">
        <v>293</v>
      </c>
      <c r="B223" s="59" t="s">
        <v>191</v>
      </c>
      <c r="C223" s="60">
        <v>14269</v>
      </c>
      <c r="D223" s="60">
        <v>0</v>
      </c>
      <c r="E223" s="60">
        <v>0</v>
      </c>
      <c r="F223" s="60">
        <v>0</v>
      </c>
      <c r="G223" s="60">
        <v>0</v>
      </c>
      <c r="H223" s="60">
        <v>0</v>
      </c>
      <c r="I223" s="60">
        <v>0</v>
      </c>
      <c r="J223" s="60">
        <v>0</v>
      </c>
      <c r="K223" s="60">
        <v>0</v>
      </c>
      <c r="L223" s="60"/>
      <c r="M223" s="61">
        <f t="shared" si="2"/>
        <v>14269</v>
      </c>
    </row>
    <row r="224" spans="1:13" ht="16.5">
      <c r="A224" s="58" t="s">
        <v>321</v>
      </c>
      <c r="B224" s="59" t="s">
        <v>572</v>
      </c>
      <c r="C224" s="60">
        <v>0</v>
      </c>
      <c r="D224" s="60">
        <v>0</v>
      </c>
      <c r="E224" s="60">
        <v>0</v>
      </c>
      <c r="F224" s="60">
        <f>SUM(J224)</f>
        <v>912000</v>
      </c>
      <c r="G224" s="60">
        <v>0</v>
      </c>
      <c r="H224" s="60">
        <v>0</v>
      </c>
      <c r="I224" s="60">
        <v>0</v>
      </c>
      <c r="J224" s="60">
        <f>532000+380000</f>
        <v>912000</v>
      </c>
      <c r="K224" s="60">
        <f>532000+380000</f>
        <v>912000</v>
      </c>
      <c r="L224" s="60"/>
      <c r="M224" s="61">
        <f t="shared" si="2"/>
        <v>912000</v>
      </c>
    </row>
    <row r="225" spans="1:13" ht="66">
      <c r="A225" s="58" t="s">
        <v>276</v>
      </c>
      <c r="B225" s="59" t="s">
        <v>189</v>
      </c>
      <c r="C225" s="60">
        <v>0</v>
      </c>
      <c r="D225" s="60">
        <v>0</v>
      </c>
      <c r="E225" s="60">
        <v>0</v>
      </c>
      <c r="F225" s="60">
        <f>SUM(F226)</f>
        <v>140507</v>
      </c>
      <c r="G225" s="60">
        <f>SUM(G226)</f>
        <v>140507</v>
      </c>
      <c r="H225" s="60">
        <v>0</v>
      </c>
      <c r="I225" s="60">
        <v>0</v>
      </c>
      <c r="J225" s="60">
        <v>0</v>
      </c>
      <c r="K225" s="60">
        <v>0</v>
      </c>
      <c r="L225" s="60"/>
      <c r="M225" s="61">
        <f t="shared" si="2"/>
        <v>140507</v>
      </c>
    </row>
    <row r="226" spans="1:13" ht="33">
      <c r="A226" s="69"/>
      <c r="B226" s="59" t="s">
        <v>803</v>
      </c>
      <c r="C226" s="60"/>
      <c r="D226" s="60"/>
      <c r="E226" s="60"/>
      <c r="F226" s="60">
        <f>SUM(G226)</f>
        <v>140507</v>
      </c>
      <c r="G226" s="60">
        <f>165612-50105+25000</f>
        <v>140507</v>
      </c>
      <c r="H226" s="60"/>
      <c r="I226" s="60"/>
      <c r="J226" s="60"/>
      <c r="K226" s="60"/>
      <c r="L226" s="60"/>
      <c r="M226" s="61">
        <f>SUM(F226)</f>
        <v>140507</v>
      </c>
    </row>
    <row r="227" spans="1:13" ht="49.5">
      <c r="A227" s="55">
        <v>22</v>
      </c>
      <c r="B227" s="56" t="s">
        <v>584</v>
      </c>
      <c r="C227" s="57">
        <f>SUM(C228)</f>
        <v>842588</v>
      </c>
      <c r="D227" s="57">
        <f>SUM(D228)</f>
        <v>612380</v>
      </c>
      <c r="E227" s="57">
        <f>SUM(E228)</f>
        <v>17100</v>
      </c>
      <c r="F227" s="57">
        <v>0</v>
      </c>
      <c r="G227" s="57">
        <v>0</v>
      </c>
      <c r="H227" s="57">
        <v>0</v>
      </c>
      <c r="I227" s="57">
        <v>0</v>
      </c>
      <c r="J227" s="57">
        <v>0</v>
      </c>
      <c r="K227" s="57">
        <v>0</v>
      </c>
      <c r="L227" s="57"/>
      <c r="M227" s="57">
        <f t="shared" si="2"/>
        <v>842588</v>
      </c>
    </row>
    <row r="228" spans="1:13" ht="16.5">
      <c r="A228" s="58" t="s">
        <v>274</v>
      </c>
      <c r="B228" s="59" t="s">
        <v>497</v>
      </c>
      <c r="C228" s="60">
        <f>1060292+164691-402600+20205</f>
        <v>842588</v>
      </c>
      <c r="D228" s="60">
        <f>662340+120830-200000+29210</f>
        <v>612380</v>
      </c>
      <c r="E228" s="60">
        <v>17100</v>
      </c>
      <c r="F228" s="60">
        <v>0</v>
      </c>
      <c r="G228" s="60">
        <v>0</v>
      </c>
      <c r="H228" s="60">
        <v>0</v>
      </c>
      <c r="I228" s="60">
        <v>0</v>
      </c>
      <c r="J228" s="60">
        <v>0</v>
      </c>
      <c r="K228" s="60">
        <v>0</v>
      </c>
      <c r="L228" s="60"/>
      <c r="M228" s="61">
        <f t="shared" si="2"/>
        <v>842588</v>
      </c>
    </row>
    <row r="229" spans="1:13" ht="33">
      <c r="A229" s="55">
        <v>24</v>
      </c>
      <c r="B229" s="56" t="s">
        <v>932</v>
      </c>
      <c r="C229" s="57">
        <f>SUM(C230+C231+C239+C241+C243)</f>
        <v>83430599.94999999</v>
      </c>
      <c r="D229" s="57">
        <f>SUM(D230+D231)</f>
        <v>56675592</v>
      </c>
      <c r="E229" s="57">
        <f>SUM(E230+E231+E243)</f>
        <v>3400553.4200000004</v>
      </c>
      <c r="F229" s="57">
        <f>SUM(F231+F238+F241)</f>
        <v>9318322</v>
      </c>
      <c r="G229" s="57">
        <f>SUM(G231+G241)</f>
        <v>7536742</v>
      </c>
      <c r="H229" s="57">
        <v>3373260</v>
      </c>
      <c r="I229" s="57">
        <v>83980</v>
      </c>
      <c r="J229" s="57">
        <f>SUM(J231+J238)</f>
        <v>1781580</v>
      </c>
      <c r="K229" s="57">
        <f>SUM(K238)</f>
        <v>1503040</v>
      </c>
      <c r="L229" s="57"/>
      <c r="M229" s="57">
        <f t="shared" si="2"/>
        <v>92748921.94999999</v>
      </c>
    </row>
    <row r="230" spans="1:13" ht="16.5">
      <c r="A230" s="58" t="s">
        <v>274</v>
      </c>
      <c r="B230" s="59" t="s">
        <v>497</v>
      </c>
      <c r="C230" s="60">
        <f>1361872+351030+489000</f>
        <v>2201902</v>
      </c>
      <c r="D230" s="60">
        <f>954560+257542+357000</f>
        <v>1569102</v>
      </c>
      <c r="E230" s="60">
        <v>45220</v>
      </c>
      <c r="F230" s="60">
        <v>0</v>
      </c>
      <c r="G230" s="60">
        <v>0</v>
      </c>
      <c r="H230" s="60">
        <v>0</v>
      </c>
      <c r="I230" s="60">
        <v>0</v>
      </c>
      <c r="J230" s="60">
        <v>0</v>
      </c>
      <c r="K230" s="60">
        <v>0</v>
      </c>
      <c r="L230" s="60"/>
      <c r="M230" s="61">
        <f t="shared" si="2"/>
        <v>2201902</v>
      </c>
    </row>
    <row r="231" spans="1:13" ht="16.5">
      <c r="A231" s="65" t="s">
        <v>848</v>
      </c>
      <c r="B231" s="77" t="s">
        <v>800</v>
      </c>
      <c r="C231" s="66">
        <f>SUM(C232:C237)</f>
        <v>81160610</v>
      </c>
      <c r="D231" s="66">
        <f>SUM(D232:D237)</f>
        <v>55106490</v>
      </c>
      <c r="E231" s="66">
        <f>SUM(E232:E237)</f>
        <v>3300551.0700000003</v>
      </c>
      <c r="F231" s="66">
        <v>6410790</v>
      </c>
      <c r="G231" s="66">
        <f>G233+G234+G235+G236</f>
        <v>6132250</v>
      </c>
      <c r="H231" s="66">
        <v>3373260</v>
      </c>
      <c r="I231" s="66">
        <v>83980</v>
      </c>
      <c r="J231" s="66">
        <f>SUM(J233+J234+J236)</f>
        <v>278540</v>
      </c>
      <c r="K231" s="66">
        <v>0</v>
      </c>
      <c r="L231" s="66"/>
      <c r="M231" s="67">
        <f t="shared" si="2"/>
        <v>87571400</v>
      </c>
    </row>
    <row r="232" spans="1:13" ht="16.5">
      <c r="A232" s="58" t="s">
        <v>251</v>
      </c>
      <c r="B232" s="59" t="s">
        <v>648</v>
      </c>
      <c r="C232" s="60">
        <v>988000</v>
      </c>
      <c r="D232" s="60">
        <v>0</v>
      </c>
      <c r="E232" s="60">
        <v>0</v>
      </c>
      <c r="F232" s="60">
        <v>0</v>
      </c>
      <c r="G232" s="60">
        <v>0</v>
      </c>
      <c r="H232" s="60">
        <v>0</v>
      </c>
      <c r="I232" s="60">
        <v>0</v>
      </c>
      <c r="J232" s="60">
        <v>0</v>
      </c>
      <c r="K232" s="60">
        <v>0</v>
      </c>
      <c r="L232" s="60"/>
      <c r="M232" s="61">
        <f t="shared" si="2"/>
        <v>988000</v>
      </c>
    </row>
    <row r="233" spans="1:13" ht="16.5">
      <c r="A233" s="58" t="s">
        <v>252</v>
      </c>
      <c r="B233" s="59" t="s">
        <v>649</v>
      </c>
      <c r="C233" s="60">
        <f>10374113+5543340-100000</f>
        <v>15817453</v>
      </c>
      <c r="D233" s="60">
        <f>6748420+4070000</f>
        <v>10818420</v>
      </c>
      <c r="E233" s="60">
        <v>1093260</v>
      </c>
      <c r="F233" s="60">
        <v>233320</v>
      </c>
      <c r="G233" s="60">
        <v>195320</v>
      </c>
      <c r="H233" s="60">
        <v>9500</v>
      </c>
      <c r="I233" s="60">
        <v>0</v>
      </c>
      <c r="J233" s="60">
        <v>38000</v>
      </c>
      <c r="K233" s="60">
        <v>0</v>
      </c>
      <c r="L233" s="60"/>
      <c r="M233" s="61">
        <f t="shared" si="2"/>
        <v>16050773</v>
      </c>
    </row>
    <row r="234" spans="1:13" ht="16.5">
      <c r="A234" s="58" t="s">
        <v>253</v>
      </c>
      <c r="B234" s="59" t="s">
        <v>650</v>
      </c>
      <c r="C234" s="60">
        <f>4885518+3446880+323700</f>
        <v>8656098</v>
      </c>
      <c r="D234" s="60">
        <f>3289280+2531000+270500</f>
        <v>6090780</v>
      </c>
      <c r="E234" s="60">
        <v>384560</v>
      </c>
      <c r="F234" s="60">
        <v>912000</v>
      </c>
      <c r="G234" s="60">
        <v>709460</v>
      </c>
      <c r="H234" s="60">
        <v>57760</v>
      </c>
      <c r="I234" s="60">
        <v>11400</v>
      </c>
      <c r="J234" s="60">
        <v>202540</v>
      </c>
      <c r="K234" s="60">
        <v>0</v>
      </c>
      <c r="L234" s="60"/>
      <c r="M234" s="61">
        <f t="shared" si="2"/>
        <v>9568098</v>
      </c>
    </row>
    <row r="235" spans="1:13" ht="33">
      <c r="A235" s="58" t="s">
        <v>250</v>
      </c>
      <c r="B235" s="59" t="s">
        <v>840</v>
      </c>
      <c r="C235" s="60">
        <f>3822990+2994280</f>
        <v>6817270</v>
      </c>
      <c r="D235" s="60">
        <f>2626180+2198000</f>
        <v>4824180</v>
      </c>
      <c r="E235" s="60">
        <f>240920-3228.93</f>
        <v>237691.07</v>
      </c>
      <c r="F235" s="60">
        <v>228570</v>
      </c>
      <c r="G235" s="60">
        <v>228570</v>
      </c>
      <c r="H235" s="60">
        <v>0</v>
      </c>
      <c r="I235" s="60">
        <v>33060</v>
      </c>
      <c r="J235" s="60">
        <v>0</v>
      </c>
      <c r="K235" s="60">
        <v>0</v>
      </c>
      <c r="L235" s="60"/>
      <c r="M235" s="61">
        <f t="shared" si="2"/>
        <v>7045840</v>
      </c>
    </row>
    <row r="236" spans="1:13" ht="16.5">
      <c r="A236" s="58" t="s">
        <v>254</v>
      </c>
      <c r="B236" s="59" t="s">
        <v>492</v>
      </c>
      <c r="C236" s="60">
        <f>27261171+17379800-37700+37700-887700</f>
        <v>43753271</v>
      </c>
      <c r="D236" s="60">
        <f>19121220+12760500-20000-100000-755700</f>
        <v>31006020</v>
      </c>
      <c r="E236" s="60">
        <f>1235380+37700+150000+142200</f>
        <v>1565280</v>
      </c>
      <c r="F236" s="60">
        <v>5036900</v>
      </c>
      <c r="G236" s="60">
        <v>4998900</v>
      </c>
      <c r="H236" s="60">
        <v>3306000</v>
      </c>
      <c r="I236" s="60">
        <v>39520</v>
      </c>
      <c r="J236" s="60">
        <v>38000</v>
      </c>
      <c r="K236" s="60">
        <v>0</v>
      </c>
      <c r="L236" s="60"/>
      <c r="M236" s="61">
        <f t="shared" si="2"/>
        <v>48790171</v>
      </c>
    </row>
    <row r="237" spans="1:13" ht="33">
      <c r="A237" s="58" t="s">
        <v>849</v>
      </c>
      <c r="B237" s="59" t="s">
        <v>493</v>
      </c>
      <c r="C237" s="60">
        <f>3684918+1268600+175000</f>
        <v>5128518</v>
      </c>
      <c r="D237" s="60">
        <f>1308340+928750+130000</f>
        <v>2367090</v>
      </c>
      <c r="E237" s="60">
        <v>19760</v>
      </c>
      <c r="F237" s="60">
        <v>0</v>
      </c>
      <c r="G237" s="60">
        <v>0</v>
      </c>
      <c r="H237" s="60">
        <v>0</v>
      </c>
      <c r="I237" s="60">
        <v>0</v>
      </c>
      <c r="J237" s="60">
        <v>0</v>
      </c>
      <c r="K237" s="60">
        <v>0</v>
      </c>
      <c r="L237" s="60"/>
      <c r="M237" s="61">
        <f t="shared" si="2"/>
        <v>5128518</v>
      </c>
    </row>
    <row r="238" spans="1:13" ht="16.5">
      <c r="A238" s="58" t="s">
        <v>321</v>
      </c>
      <c r="B238" s="59" t="s">
        <v>572</v>
      </c>
      <c r="C238" s="60">
        <v>0</v>
      </c>
      <c r="D238" s="60">
        <v>0</v>
      </c>
      <c r="E238" s="60">
        <v>0</v>
      </c>
      <c r="F238" s="60">
        <f>SUM(J238)</f>
        <v>1503040</v>
      </c>
      <c r="G238" s="60">
        <v>0</v>
      </c>
      <c r="H238" s="60">
        <v>0</v>
      </c>
      <c r="I238" s="60">
        <v>0</v>
      </c>
      <c r="J238" s="60">
        <f>1103140+399900</f>
        <v>1503040</v>
      </c>
      <c r="K238" s="60">
        <f>1103140+399900</f>
        <v>1503040</v>
      </c>
      <c r="L238" s="60"/>
      <c r="M238" s="61">
        <f t="shared" si="2"/>
        <v>1503040</v>
      </c>
    </row>
    <row r="239" spans="1:13" ht="34.5" customHeight="1">
      <c r="A239" s="73">
        <v>180410</v>
      </c>
      <c r="B239" s="59" t="s">
        <v>454</v>
      </c>
      <c r="C239" s="60">
        <f>SUM(C240)</f>
        <v>13305.6</v>
      </c>
      <c r="D239" s="60"/>
      <c r="E239" s="60"/>
      <c r="F239" s="60"/>
      <c r="G239" s="60"/>
      <c r="H239" s="60"/>
      <c r="I239" s="60"/>
      <c r="J239" s="60"/>
      <c r="K239" s="60"/>
      <c r="L239" s="60"/>
      <c r="M239" s="61">
        <f>SUM(M240)</f>
        <v>13305.6</v>
      </c>
    </row>
    <row r="240" spans="1:13" ht="87" customHeight="1">
      <c r="A240" s="73"/>
      <c r="B240" s="59" t="s">
        <v>34</v>
      </c>
      <c r="C240" s="60">
        <v>13305.6</v>
      </c>
      <c r="D240" s="60"/>
      <c r="E240" s="60"/>
      <c r="F240" s="60"/>
      <c r="G240" s="60"/>
      <c r="H240" s="60"/>
      <c r="I240" s="60"/>
      <c r="J240" s="60"/>
      <c r="K240" s="60"/>
      <c r="L240" s="60"/>
      <c r="M240" s="61">
        <f t="shared" si="2"/>
        <v>13305.6</v>
      </c>
    </row>
    <row r="241" spans="1:13" ht="66">
      <c r="A241" s="58" t="s">
        <v>276</v>
      </c>
      <c r="B241" s="59" t="s">
        <v>189</v>
      </c>
      <c r="C241" s="60">
        <v>0</v>
      </c>
      <c r="D241" s="60">
        <v>0</v>
      </c>
      <c r="E241" s="60">
        <v>0</v>
      </c>
      <c r="F241" s="60">
        <f>SUM(F242)</f>
        <v>1404492</v>
      </c>
      <c r="G241" s="60">
        <f>SUM(G242)</f>
        <v>1404492</v>
      </c>
      <c r="H241" s="60">
        <v>0</v>
      </c>
      <c r="I241" s="60">
        <v>0</v>
      </c>
      <c r="J241" s="60">
        <v>0</v>
      </c>
      <c r="K241" s="60">
        <v>0</v>
      </c>
      <c r="L241" s="60"/>
      <c r="M241" s="61">
        <f t="shared" si="2"/>
        <v>1404492</v>
      </c>
    </row>
    <row r="242" spans="1:13" ht="33">
      <c r="A242" s="69"/>
      <c r="B242" s="59" t="s">
        <v>803</v>
      </c>
      <c r="C242" s="60"/>
      <c r="D242" s="60"/>
      <c r="E242" s="60"/>
      <c r="F242" s="60">
        <f>SUM(G242)</f>
        <v>1404492</v>
      </c>
      <c r="G242" s="60">
        <f>1342492+40000+22000</f>
        <v>1404492</v>
      </c>
      <c r="H242" s="60"/>
      <c r="I242" s="60"/>
      <c r="J242" s="60"/>
      <c r="K242" s="60"/>
      <c r="L242" s="60"/>
      <c r="M242" s="61">
        <f>SUM(F242)</f>
        <v>1404492</v>
      </c>
    </row>
    <row r="243" spans="1:13" ht="33">
      <c r="A243" s="100">
        <v>250404</v>
      </c>
      <c r="B243" s="59" t="s">
        <v>760</v>
      </c>
      <c r="C243" s="60">
        <v>54782.35</v>
      </c>
      <c r="D243" s="60"/>
      <c r="E243" s="60">
        <v>54782.35</v>
      </c>
      <c r="F243" s="60"/>
      <c r="G243" s="60"/>
      <c r="H243" s="60"/>
      <c r="I243" s="60"/>
      <c r="J243" s="60"/>
      <c r="K243" s="60"/>
      <c r="L243" s="60"/>
      <c r="M243" s="61">
        <f>SUM(C243)</f>
        <v>54782.35</v>
      </c>
    </row>
    <row r="244" spans="1:13" ht="16.5">
      <c r="A244" s="55">
        <v>29</v>
      </c>
      <c r="B244" s="56" t="s">
        <v>690</v>
      </c>
      <c r="C244" s="57">
        <f>SUM(C245+C246+C247)</f>
        <v>2596993.2</v>
      </c>
      <c r="D244" s="57">
        <f>SUM(D245+D246)</f>
        <v>1505967</v>
      </c>
      <c r="E244" s="57">
        <f>SUM(E245+E246)</f>
        <v>233837</v>
      </c>
      <c r="F244" s="57">
        <v>176320</v>
      </c>
      <c r="G244" s="57">
        <f>G245</f>
        <v>62320</v>
      </c>
      <c r="H244" s="57">
        <v>0</v>
      </c>
      <c r="I244" s="57">
        <v>0</v>
      </c>
      <c r="J244" s="57">
        <f>SUM(J245)</f>
        <v>114000</v>
      </c>
      <c r="K244" s="57">
        <v>0</v>
      </c>
      <c r="L244" s="57"/>
      <c r="M244" s="57">
        <f t="shared" si="2"/>
        <v>2773313.2</v>
      </c>
    </row>
    <row r="245" spans="1:13" ht="16.5">
      <c r="A245" s="58" t="s">
        <v>274</v>
      </c>
      <c r="B245" s="59" t="s">
        <v>497</v>
      </c>
      <c r="C245" s="60">
        <f>2115967+369791</f>
        <v>2485758</v>
      </c>
      <c r="D245" s="60">
        <f>1203460+271307</f>
        <v>1474767</v>
      </c>
      <c r="E245" s="60">
        <f>218880</f>
        <v>218880</v>
      </c>
      <c r="F245" s="60">
        <v>176320</v>
      </c>
      <c r="G245" s="60">
        <v>62320</v>
      </c>
      <c r="H245" s="60">
        <v>0</v>
      </c>
      <c r="I245" s="60">
        <v>0</v>
      </c>
      <c r="J245" s="60">
        <v>114000</v>
      </c>
      <c r="K245" s="60">
        <v>0</v>
      </c>
      <c r="L245" s="60"/>
      <c r="M245" s="61">
        <f t="shared" si="2"/>
        <v>2662078</v>
      </c>
    </row>
    <row r="246" spans="1:13" ht="99.75" customHeight="1">
      <c r="A246" s="73">
        <v>10116</v>
      </c>
      <c r="B246" s="59" t="s">
        <v>52</v>
      </c>
      <c r="C246" s="60">
        <v>106800</v>
      </c>
      <c r="D246" s="60">
        <v>31200</v>
      </c>
      <c r="E246" s="60">
        <v>14957</v>
      </c>
      <c r="F246" s="60"/>
      <c r="G246" s="60"/>
      <c r="H246" s="60"/>
      <c r="I246" s="60"/>
      <c r="J246" s="60"/>
      <c r="K246" s="60"/>
      <c r="L246" s="60"/>
      <c r="M246" s="61">
        <f t="shared" si="2"/>
        <v>106800</v>
      </c>
    </row>
    <row r="247" spans="1:13" ht="38.25" customHeight="1">
      <c r="A247" s="73">
        <v>180410</v>
      </c>
      <c r="B247" s="59" t="s">
        <v>454</v>
      </c>
      <c r="C247" s="60">
        <f>SUM(C248)</f>
        <v>4435.2</v>
      </c>
      <c r="D247" s="60"/>
      <c r="E247" s="60"/>
      <c r="F247" s="60"/>
      <c r="G247" s="60"/>
      <c r="H247" s="60"/>
      <c r="I247" s="60"/>
      <c r="J247" s="60"/>
      <c r="K247" s="60"/>
      <c r="L247" s="60"/>
      <c r="M247" s="61">
        <f>SUM(M248)</f>
        <v>4435.2</v>
      </c>
    </row>
    <row r="248" spans="1:13" ht="86.25" customHeight="1">
      <c r="A248" s="69"/>
      <c r="B248" s="59" t="s">
        <v>34</v>
      </c>
      <c r="C248" s="60">
        <v>4435.2</v>
      </c>
      <c r="D248" s="60"/>
      <c r="E248" s="60"/>
      <c r="F248" s="60"/>
      <c r="G248" s="60"/>
      <c r="H248" s="60"/>
      <c r="I248" s="60"/>
      <c r="J248" s="60"/>
      <c r="K248" s="60"/>
      <c r="L248" s="60"/>
      <c r="M248" s="61">
        <f>SUM(C248+F248)</f>
        <v>4435.2</v>
      </c>
    </row>
    <row r="249" spans="1:13" ht="33">
      <c r="A249" s="78">
        <v>32</v>
      </c>
      <c r="B249" s="56" t="s">
        <v>190</v>
      </c>
      <c r="C249" s="57">
        <f>SUM(C250+C252+C254+C256+C259)</f>
        <v>4869416.2</v>
      </c>
      <c r="D249" s="57">
        <f>SUM(D250:D256)</f>
        <v>3272210</v>
      </c>
      <c r="E249" s="57">
        <f>SUM(E250+E259)</f>
        <v>196848</v>
      </c>
      <c r="F249" s="57">
        <f>SUM(F250+F251+F257)</f>
        <v>1740246</v>
      </c>
      <c r="G249" s="57">
        <f>SUM(G250+G257)</f>
        <v>1340346</v>
      </c>
      <c r="H249" s="57">
        <v>0</v>
      </c>
      <c r="I249" s="57">
        <v>43700</v>
      </c>
      <c r="J249" s="57">
        <f>SUM(J251)</f>
        <v>399900</v>
      </c>
      <c r="K249" s="57">
        <f>SUM(K251)</f>
        <v>399900</v>
      </c>
      <c r="L249" s="57"/>
      <c r="M249" s="57">
        <f t="shared" si="2"/>
        <v>6609662.2</v>
      </c>
    </row>
    <row r="250" spans="1:13" ht="16.5">
      <c r="A250" s="58" t="s">
        <v>274</v>
      </c>
      <c r="B250" s="59" t="s">
        <v>497</v>
      </c>
      <c r="C250" s="60">
        <f>3806108+816004</f>
        <v>4622112</v>
      </c>
      <c r="D250" s="60">
        <f>2612880+598682+60648</f>
        <v>3272210</v>
      </c>
      <c r="E250" s="60">
        <f>171380-11532</f>
        <v>159848</v>
      </c>
      <c r="F250" s="60">
        <v>109820</v>
      </c>
      <c r="G250" s="60">
        <v>109820</v>
      </c>
      <c r="H250" s="60">
        <v>0</v>
      </c>
      <c r="I250" s="60">
        <v>43700</v>
      </c>
      <c r="J250" s="60">
        <v>0</v>
      </c>
      <c r="K250" s="60">
        <v>0</v>
      </c>
      <c r="L250" s="60"/>
      <c r="M250" s="61">
        <f t="shared" si="2"/>
        <v>4731932</v>
      </c>
    </row>
    <row r="251" spans="1:13" ht="16.5">
      <c r="A251" s="58" t="s">
        <v>321</v>
      </c>
      <c r="B251" s="59" t="s">
        <v>572</v>
      </c>
      <c r="C251" s="60"/>
      <c r="D251" s="60"/>
      <c r="E251" s="60"/>
      <c r="F251" s="60">
        <f>SUM(J251)</f>
        <v>399900</v>
      </c>
      <c r="G251" s="60"/>
      <c r="H251" s="60"/>
      <c r="I251" s="60"/>
      <c r="J251" s="60">
        <v>399900</v>
      </c>
      <c r="K251" s="60">
        <v>399900</v>
      </c>
      <c r="L251" s="60"/>
      <c r="M251" s="61">
        <f>SUM(F251)</f>
        <v>399900</v>
      </c>
    </row>
    <row r="252" spans="1:13" ht="33">
      <c r="A252" s="58" t="s">
        <v>255</v>
      </c>
      <c r="B252" s="59" t="s">
        <v>335</v>
      </c>
      <c r="C252" s="60">
        <f>SUM(C253)</f>
        <v>167820</v>
      </c>
      <c r="D252" s="60">
        <v>0</v>
      </c>
      <c r="E252" s="60">
        <v>0</v>
      </c>
      <c r="F252" s="60">
        <v>0</v>
      </c>
      <c r="G252" s="60">
        <v>0</v>
      </c>
      <c r="H252" s="60">
        <v>0</v>
      </c>
      <c r="I252" s="60">
        <v>0</v>
      </c>
      <c r="J252" s="60">
        <v>0</v>
      </c>
      <c r="K252" s="60">
        <v>0</v>
      </c>
      <c r="L252" s="60"/>
      <c r="M252" s="61">
        <f t="shared" si="2"/>
        <v>167820</v>
      </c>
    </row>
    <row r="253" spans="1:13" ht="33">
      <c r="A253" s="58"/>
      <c r="B253" s="59" t="s">
        <v>314</v>
      </c>
      <c r="C253" s="60">
        <f>220020-52200</f>
        <v>167820</v>
      </c>
      <c r="D253" s="60"/>
      <c r="E253" s="60"/>
      <c r="F253" s="60"/>
      <c r="G253" s="60"/>
      <c r="H253" s="60"/>
      <c r="I253" s="60"/>
      <c r="J253" s="60"/>
      <c r="K253" s="60"/>
      <c r="L253" s="60"/>
      <c r="M253" s="61">
        <f>SUM(C253)</f>
        <v>167820</v>
      </c>
    </row>
    <row r="254" spans="1:13" ht="34.5" customHeight="1">
      <c r="A254" s="58" t="s">
        <v>275</v>
      </c>
      <c r="B254" s="59" t="s">
        <v>454</v>
      </c>
      <c r="C254" s="60">
        <f>SUM(C255)</f>
        <v>4435.2</v>
      </c>
      <c r="D254" s="60"/>
      <c r="E254" s="60"/>
      <c r="F254" s="60"/>
      <c r="G254" s="60"/>
      <c r="H254" s="60"/>
      <c r="I254" s="60"/>
      <c r="J254" s="60"/>
      <c r="K254" s="60"/>
      <c r="L254" s="60"/>
      <c r="M254" s="61">
        <f>SUM(M255)</f>
        <v>4435.2</v>
      </c>
    </row>
    <row r="255" spans="1:13" ht="87" customHeight="1">
      <c r="A255" s="58"/>
      <c r="B255" s="59" t="s">
        <v>34</v>
      </c>
      <c r="C255" s="60">
        <v>4435.2</v>
      </c>
      <c r="D255" s="60"/>
      <c r="E255" s="60"/>
      <c r="F255" s="60"/>
      <c r="G255" s="60"/>
      <c r="H255" s="60"/>
      <c r="I255" s="60"/>
      <c r="J255" s="60"/>
      <c r="K255" s="60"/>
      <c r="L255" s="60"/>
      <c r="M255" s="61">
        <f t="shared" si="2"/>
        <v>4435.2</v>
      </c>
    </row>
    <row r="256" spans="1:13" ht="49.5">
      <c r="A256" s="58" t="s">
        <v>256</v>
      </c>
      <c r="B256" s="59" t="s">
        <v>637</v>
      </c>
      <c r="C256" s="60">
        <v>38049</v>
      </c>
      <c r="D256" s="60">
        <v>0</v>
      </c>
      <c r="E256" s="60">
        <v>0</v>
      </c>
      <c r="F256" s="60">
        <v>0</v>
      </c>
      <c r="G256" s="60">
        <v>0</v>
      </c>
      <c r="H256" s="60">
        <v>0</v>
      </c>
      <c r="I256" s="60">
        <v>0</v>
      </c>
      <c r="J256" s="60">
        <v>0</v>
      </c>
      <c r="K256" s="60">
        <v>0</v>
      </c>
      <c r="L256" s="60"/>
      <c r="M256" s="61">
        <f t="shared" si="2"/>
        <v>38049</v>
      </c>
    </row>
    <row r="257" spans="1:13" ht="69.75" customHeight="1">
      <c r="A257" s="58" t="s">
        <v>276</v>
      </c>
      <c r="B257" s="59" t="s">
        <v>189</v>
      </c>
      <c r="C257" s="60">
        <v>0</v>
      </c>
      <c r="D257" s="60">
        <v>0</v>
      </c>
      <c r="E257" s="60">
        <v>0</v>
      </c>
      <c r="F257" s="60">
        <f>SUM(F258)</f>
        <v>1230526</v>
      </c>
      <c r="G257" s="60">
        <f>SUM(G258)</f>
        <v>1230526</v>
      </c>
      <c r="H257" s="60">
        <v>0</v>
      </c>
      <c r="I257" s="60">
        <v>0</v>
      </c>
      <c r="J257" s="60">
        <v>0</v>
      </c>
      <c r="K257" s="60">
        <v>0</v>
      </c>
      <c r="L257" s="60"/>
      <c r="M257" s="61">
        <f t="shared" si="2"/>
        <v>1230526</v>
      </c>
    </row>
    <row r="258" spans="1:13" ht="33">
      <c r="A258" s="69"/>
      <c r="B258" s="59" t="s">
        <v>803</v>
      </c>
      <c r="C258" s="60"/>
      <c r="D258" s="60"/>
      <c r="E258" s="60"/>
      <c r="F258" s="60">
        <f>SUM(G258)</f>
        <v>1230526</v>
      </c>
      <c r="G258" s="60">
        <f>1335526-105000</f>
        <v>1230526</v>
      </c>
      <c r="H258" s="60"/>
      <c r="I258" s="60"/>
      <c r="J258" s="60"/>
      <c r="K258" s="60"/>
      <c r="L258" s="60"/>
      <c r="M258" s="61">
        <f>SUM(F258)</f>
        <v>1230526</v>
      </c>
    </row>
    <row r="259" spans="1:13" ht="33">
      <c r="A259" s="100">
        <v>250404</v>
      </c>
      <c r="B259" s="59" t="s">
        <v>760</v>
      </c>
      <c r="C259" s="60">
        <v>37000</v>
      </c>
      <c r="D259" s="60"/>
      <c r="E259" s="60">
        <v>37000</v>
      </c>
      <c r="F259" s="60"/>
      <c r="G259" s="60"/>
      <c r="H259" s="60"/>
      <c r="I259" s="60"/>
      <c r="J259" s="60"/>
      <c r="K259" s="60"/>
      <c r="L259" s="60"/>
      <c r="M259" s="61">
        <f>SUM(C259)</f>
        <v>37000</v>
      </c>
    </row>
    <row r="260" spans="1:13" ht="33">
      <c r="A260" s="55">
        <v>40</v>
      </c>
      <c r="B260" s="56" t="s">
        <v>694</v>
      </c>
      <c r="C260" s="57">
        <f>SUM(C261+C262+C272+C277)</f>
        <v>106388850.2</v>
      </c>
      <c r="D260" s="57">
        <f>SUM(D261+D262+D272)</f>
        <v>6960890</v>
      </c>
      <c r="E260" s="57">
        <f>SUM(E261+E262+E272)</f>
        <v>5127946</v>
      </c>
      <c r="F260" s="57">
        <f>F263+F264+F265+F275</f>
        <v>107186197</v>
      </c>
      <c r="G260" s="57">
        <f>G265+G275</f>
        <v>21589492</v>
      </c>
      <c r="H260" s="57">
        <v>0</v>
      </c>
      <c r="I260" s="57">
        <v>0</v>
      </c>
      <c r="J260" s="57">
        <f>J263+J265+J275+J264</f>
        <v>85596705</v>
      </c>
      <c r="K260" s="57">
        <f>SUM(K263+K264)</f>
        <v>67481553</v>
      </c>
      <c r="L260" s="57"/>
      <c r="M260" s="57">
        <f t="shared" si="2"/>
        <v>213575047.2</v>
      </c>
    </row>
    <row r="261" spans="1:13" ht="16.5">
      <c r="A261" s="58" t="s">
        <v>274</v>
      </c>
      <c r="B261" s="59" t="s">
        <v>497</v>
      </c>
      <c r="C261" s="60">
        <f>8034598-154120+1828116</f>
        <v>9708594</v>
      </c>
      <c r="D261" s="60">
        <f>5508860-113074+1341244+223860</f>
        <v>6960890</v>
      </c>
      <c r="E261" s="60">
        <f>248900-28540</f>
        <v>220360</v>
      </c>
      <c r="F261" s="60">
        <v>0</v>
      </c>
      <c r="G261" s="60">
        <v>0</v>
      </c>
      <c r="H261" s="60">
        <v>0</v>
      </c>
      <c r="I261" s="60">
        <v>0</v>
      </c>
      <c r="J261" s="60">
        <v>0</v>
      </c>
      <c r="K261" s="60">
        <v>0</v>
      </c>
      <c r="L261" s="60"/>
      <c r="M261" s="61">
        <f t="shared" si="2"/>
        <v>9708594</v>
      </c>
    </row>
    <row r="262" spans="1:13" ht="16.5">
      <c r="A262" s="58" t="s">
        <v>257</v>
      </c>
      <c r="B262" s="79" t="s">
        <v>258</v>
      </c>
      <c r="C262" s="60">
        <f>63181576-60000+6457465</f>
        <v>69579041</v>
      </c>
      <c r="D262" s="60">
        <v>0</v>
      </c>
      <c r="E262" s="60">
        <v>4907586</v>
      </c>
      <c r="F262" s="60">
        <v>0</v>
      </c>
      <c r="G262" s="60">
        <v>0</v>
      </c>
      <c r="H262" s="60">
        <v>0</v>
      </c>
      <c r="I262" s="60">
        <v>0</v>
      </c>
      <c r="J262" s="60">
        <v>0</v>
      </c>
      <c r="K262" s="60">
        <v>0</v>
      </c>
      <c r="L262" s="60"/>
      <c r="M262" s="61">
        <f t="shared" si="2"/>
        <v>69579041</v>
      </c>
    </row>
    <row r="263" spans="1:13" ht="16.5">
      <c r="A263" s="58" t="s">
        <v>321</v>
      </c>
      <c r="B263" s="59" t="s">
        <v>572</v>
      </c>
      <c r="C263" s="60">
        <v>0</v>
      </c>
      <c r="D263" s="60">
        <v>0</v>
      </c>
      <c r="E263" s="60">
        <v>0</v>
      </c>
      <c r="F263" s="60">
        <f>SUM(J263)</f>
        <v>64650753</v>
      </c>
      <c r="G263" s="60">
        <v>0</v>
      </c>
      <c r="H263" s="60">
        <v>0</v>
      </c>
      <c r="I263" s="60">
        <v>0</v>
      </c>
      <c r="J263" s="60">
        <f>64395753+255000</f>
        <v>64650753</v>
      </c>
      <c r="K263" s="60">
        <f>64395753+255000</f>
        <v>64650753</v>
      </c>
      <c r="L263" s="60"/>
      <c r="M263" s="61">
        <f t="shared" si="2"/>
        <v>64650753</v>
      </c>
    </row>
    <row r="264" spans="1:13" ht="42.75" customHeight="1">
      <c r="A264" s="58" t="s">
        <v>321</v>
      </c>
      <c r="B264" s="59" t="s">
        <v>76</v>
      </c>
      <c r="C264" s="60"/>
      <c r="D264" s="60"/>
      <c r="E264" s="60"/>
      <c r="F264" s="60">
        <f>SUM(J264)</f>
        <v>2830800</v>
      </c>
      <c r="G264" s="60"/>
      <c r="H264" s="60"/>
      <c r="I264" s="60"/>
      <c r="J264" s="60">
        <f>2931000-100200</f>
        <v>2830800</v>
      </c>
      <c r="K264" s="60">
        <f>2931000-100200</f>
        <v>2830800</v>
      </c>
      <c r="L264" s="60"/>
      <c r="M264" s="61">
        <f>SUM(F264)</f>
        <v>2830800</v>
      </c>
    </row>
    <row r="265" spans="1:13" ht="49.5">
      <c r="A265" s="58" t="s">
        <v>245</v>
      </c>
      <c r="B265" s="59" t="s">
        <v>658</v>
      </c>
      <c r="C265" s="60">
        <v>0</v>
      </c>
      <c r="D265" s="60">
        <v>0</v>
      </c>
      <c r="E265" s="60">
        <v>0</v>
      </c>
      <c r="F265" s="60">
        <f>G265+J265</f>
        <v>19225433</v>
      </c>
      <c r="G265" s="60">
        <f>SUM(G266:G271)</f>
        <v>3444185</v>
      </c>
      <c r="H265" s="60">
        <v>0</v>
      </c>
      <c r="I265" s="60">
        <v>0</v>
      </c>
      <c r="J265" s="60">
        <v>15781248</v>
      </c>
      <c r="K265" s="60">
        <v>0</v>
      </c>
      <c r="L265" s="60"/>
      <c r="M265" s="61">
        <f t="shared" si="2"/>
        <v>19225433</v>
      </c>
    </row>
    <row r="266" spans="1:13" ht="49.5">
      <c r="A266" s="58"/>
      <c r="B266" s="59" t="s">
        <v>658</v>
      </c>
      <c r="C266" s="60"/>
      <c r="D266" s="60"/>
      <c r="E266" s="60"/>
      <c r="F266" s="76">
        <v>1464140</v>
      </c>
      <c r="G266" s="76">
        <v>1464140</v>
      </c>
      <c r="H266" s="76"/>
      <c r="I266" s="76"/>
      <c r="J266" s="76"/>
      <c r="K266" s="60"/>
      <c r="L266" s="60"/>
      <c r="M266" s="61">
        <f aca="true" t="shared" si="3" ref="M266:M271">SUM(F266)</f>
        <v>1464140</v>
      </c>
    </row>
    <row r="267" spans="1:13" ht="66.75" customHeight="1">
      <c r="A267" s="58"/>
      <c r="B267" s="59" t="s">
        <v>182</v>
      </c>
      <c r="C267" s="60"/>
      <c r="D267" s="60"/>
      <c r="E267" s="60"/>
      <c r="F267" s="76">
        <f>SUM(G267+J267)</f>
        <v>195309</v>
      </c>
      <c r="G267" s="76">
        <v>195309</v>
      </c>
      <c r="H267" s="76"/>
      <c r="I267" s="76"/>
      <c r="J267" s="76"/>
      <c r="K267" s="60"/>
      <c r="L267" s="60"/>
      <c r="M267" s="61">
        <f t="shared" si="3"/>
        <v>195309</v>
      </c>
    </row>
    <row r="268" spans="1:13" ht="67.5" customHeight="1">
      <c r="A268" s="58"/>
      <c r="B268" s="59" t="s">
        <v>651</v>
      </c>
      <c r="C268" s="60"/>
      <c r="D268" s="60"/>
      <c r="E268" s="60"/>
      <c r="F268" s="76">
        <f>SUM(G268+J268)</f>
        <v>1187394</v>
      </c>
      <c r="G268" s="76">
        <v>729171</v>
      </c>
      <c r="H268" s="76"/>
      <c r="I268" s="76"/>
      <c r="J268" s="76">
        <v>458223</v>
      </c>
      <c r="K268" s="60"/>
      <c r="L268" s="60"/>
      <c r="M268" s="61">
        <f t="shared" si="3"/>
        <v>1187394</v>
      </c>
    </row>
    <row r="269" spans="1:13" ht="68.25" customHeight="1">
      <c r="A269" s="58"/>
      <c r="B269" s="59" t="s">
        <v>307</v>
      </c>
      <c r="C269" s="60"/>
      <c r="D269" s="60"/>
      <c r="E269" s="60"/>
      <c r="F269" s="76">
        <f>SUM(G269+J269)</f>
        <v>9521766</v>
      </c>
      <c r="G269" s="76"/>
      <c r="H269" s="76"/>
      <c r="I269" s="76"/>
      <c r="J269" s="76">
        <v>9521766</v>
      </c>
      <c r="K269" s="60"/>
      <c r="L269" s="60"/>
      <c r="M269" s="61">
        <f t="shared" si="3"/>
        <v>9521766</v>
      </c>
    </row>
    <row r="270" spans="1:13" ht="68.25" customHeight="1">
      <c r="A270" s="58"/>
      <c r="B270" s="59" t="s">
        <v>524</v>
      </c>
      <c r="C270" s="60"/>
      <c r="D270" s="60"/>
      <c r="E270" s="60"/>
      <c r="F270" s="76">
        <f>SUM(G270+J270)</f>
        <v>532831</v>
      </c>
      <c r="G270" s="76">
        <v>310291</v>
      </c>
      <c r="H270" s="76"/>
      <c r="I270" s="76"/>
      <c r="J270" s="76">
        <v>222540</v>
      </c>
      <c r="K270" s="60"/>
      <c r="L270" s="60"/>
      <c r="M270" s="61">
        <f t="shared" si="3"/>
        <v>532831</v>
      </c>
    </row>
    <row r="271" spans="1:13" ht="69.75" customHeight="1">
      <c r="A271" s="58"/>
      <c r="B271" s="59" t="s">
        <v>525</v>
      </c>
      <c r="C271" s="60"/>
      <c r="D271" s="60"/>
      <c r="E271" s="60"/>
      <c r="F271" s="76">
        <f>SUM(G271+J271)</f>
        <v>6323993</v>
      </c>
      <c r="G271" s="76">
        <v>745274</v>
      </c>
      <c r="H271" s="76"/>
      <c r="I271" s="76"/>
      <c r="J271" s="76">
        <v>5578719</v>
      </c>
      <c r="K271" s="60"/>
      <c r="L271" s="60"/>
      <c r="M271" s="61">
        <f t="shared" si="3"/>
        <v>6323993</v>
      </c>
    </row>
    <row r="272" spans="1:13" ht="33">
      <c r="A272" s="58" t="s">
        <v>275</v>
      </c>
      <c r="B272" s="59" t="s">
        <v>454</v>
      </c>
      <c r="C272" s="60">
        <f>SUM(C273:C274)</f>
        <v>1838315.2</v>
      </c>
      <c r="D272" s="60">
        <v>0</v>
      </c>
      <c r="E272" s="60">
        <v>0</v>
      </c>
      <c r="F272" s="60">
        <v>0</v>
      </c>
      <c r="G272" s="60">
        <v>0</v>
      </c>
      <c r="H272" s="60">
        <v>0</v>
      </c>
      <c r="I272" s="60">
        <v>0</v>
      </c>
      <c r="J272" s="60">
        <v>0</v>
      </c>
      <c r="K272" s="60">
        <v>0</v>
      </c>
      <c r="L272" s="60"/>
      <c r="M272" s="61">
        <f t="shared" si="2"/>
        <v>1838315.2</v>
      </c>
    </row>
    <row r="273" spans="1:13" ht="72.75" customHeight="1">
      <c r="A273" s="58"/>
      <c r="B273" s="59" t="s">
        <v>700</v>
      </c>
      <c r="C273" s="60">
        <v>1833880</v>
      </c>
      <c r="D273" s="60"/>
      <c r="E273" s="60"/>
      <c r="F273" s="60"/>
      <c r="G273" s="60"/>
      <c r="H273" s="60"/>
      <c r="I273" s="60"/>
      <c r="J273" s="60"/>
      <c r="K273" s="60"/>
      <c r="L273" s="60"/>
      <c r="M273" s="61">
        <f>SUM(C273)</f>
        <v>1833880</v>
      </c>
    </row>
    <row r="274" spans="1:13" ht="86.25" customHeight="1">
      <c r="A274" s="58"/>
      <c r="B274" s="59" t="s">
        <v>34</v>
      </c>
      <c r="C274" s="60">
        <v>4435.2</v>
      </c>
      <c r="D274" s="60"/>
      <c r="E274" s="60"/>
      <c r="F274" s="60"/>
      <c r="G274" s="60"/>
      <c r="H274" s="60"/>
      <c r="I274" s="60"/>
      <c r="J274" s="60"/>
      <c r="K274" s="60"/>
      <c r="L274" s="60"/>
      <c r="M274" s="61">
        <f t="shared" si="2"/>
        <v>4435.2</v>
      </c>
    </row>
    <row r="275" spans="1:13" ht="66">
      <c r="A275" s="58" t="s">
        <v>276</v>
      </c>
      <c r="B275" s="59" t="s">
        <v>189</v>
      </c>
      <c r="C275" s="60">
        <v>0</v>
      </c>
      <c r="D275" s="60">
        <v>0</v>
      </c>
      <c r="E275" s="60">
        <v>0</v>
      </c>
      <c r="F275" s="60">
        <f>SUM(F276)</f>
        <v>20479211</v>
      </c>
      <c r="G275" s="60">
        <f>SUM(G276)</f>
        <v>18145307</v>
      </c>
      <c r="H275" s="60">
        <v>0</v>
      </c>
      <c r="I275" s="60">
        <v>0</v>
      </c>
      <c r="J275" s="60">
        <f>SUM(J276)</f>
        <v>2333904</v>
      </c>
      <c r="K275" s="60">
        <v>0</v>
      </c>
      <c r="L275" s="60"/>
      <c r="M275" s="61">
        <f t="shared" si="2"/>
        <v>20479211</v>
      </c>
    </row>
    <row r="276" spans="1:13" ht="33">
      <c r="A276" s="69"/>
      <c r="B276" s="59" t="s">
        <v>803</v>
      </c>
      <c r="C276" s="60"/>
      <c r="D276" s="60"/>
      <c r="E276" s="60"/>
      <c r="F276" s="60">
        <f>SUM(G276+J276)</f>
        <v>20479211</v>
      </c>
      <c r="G276" s="60">
        <f>26092772-1500000-6457465+10000</f>
        <v>18145307</v>
      </c>
      <c r="H276" s="60">
        <v>0</v>
      </c>
      <c r="I276" s="60">
        <v>0</v>
      </c>
      <c r="J276" s="60">
        <f>833904+1500000</f>
        <v>2333904</v>
      </c>
      <c r="K276" s="60"/>
      <c r="L276" s="60"/>
      <c r="M276" s="61">
        <f>SUM(F276)</f>
        <v>20479211</v>
      </c>
    </row>
    <row r="277" spans="1:13" ht="138" customHeight="1">
      <c r="A277" s="100">
        <v>250323</v>
      </c>
      <c r="B277" s="59" t="s">
        <v>180</v>
      </c>
      <c r="C277" s="60">
        <v>25262900</v>
      </c>
      <c r="D277" s="60"/>
      <c r="E277" s="60"/>
      <c r="F277" s="60"/>
      <c r="G277" s="60"/>
      <c r="H277" s="60"/>
      <c r="I277" s="60"/>
      <c r="J277" s="60"/>
      <c r="K277" s="60"/>
      <c r="L277" s="60"/>
      <c r="M277" s="61">
        <f>SUM(C277)</f>
        <v>25262900</v>
      </c>
    </row>
    <row r="278" spans="1:13" ht="33">
      <c r="A278" s="55">
        <v>47</v>
      </c>
      <c r="B278" s="56" t="s">
        <v>134</v>
      </c>
      <c r="C278" s="57">
        <f>SUM(C279+C283)</f>
        <v>4350013.2</v>
      </c>
      <c r="D278" s="57">
        <f>SUM(D279)</f>
        <v>3145921</v>
      </c>
      <c r="E278" s="57">
        <f>SUM(E279)</f>
        <v>93290</v>
      </c>
      <c r="F278" s="57">
        <f>F279+F280+F281+F283+F285+F286</f>
        <v>172276935</v>
      </c>
      <c r="G278" s="57">
        <f>SUM(G279+G283)</f>
        <v>1375600</v>
      </c>
      <c r="H278" s="57">
        <v>476900</v>
      </c>
      <c r="I278" s="57">
        <v>131100</v>
      </c>
      <c r="J278" s="57">
        <f>SUM(J279+J280+J281+J285+J286)</f>
        <v>170901335</v>
      </c>
      <c r="K278" s="57">
        <f>K279+K280+K282+K283+K281+K285+K286</f>
        <v>170878535</v>
      </c>
      <c r="L278" s="57">
        <f>SUM(L286)</f>
        <v>51180000</v>
      </c>
      <c r="M278" s="57">
        <f t="shared" si="2"/>
        <v>176626948.2</v>
      </c>
    </row>
    <row r="279" spans="1:13" ht="16.5">
      <c r="A279" s="58" t="s">
        <v>274</v>
      </c>
      <c r="B279" s="59" t="s">
        <v>497</v>
      </c>
      <c r="C279" s="60">
        <f>3201500+497306+646772</f>
        <v>4345578</v>
      </c>
      <c r="D279" s="60">
        <f>2375000+296400+474521</f>
        <v>3145921</v>
      </c>
      <c r="E279" s="60">
        <v>93290</v>
      </c>
      <c r="F279" s="60">
        <v>950000</v>
      </c>
      <c r="G279" s="60">
        <v>927200</v>
      </c>
      <c r="H279" s="60">
        <v>476900</v>
      </c>
      <c r="I279" s="60">
        <v>131100</v>
      </c>
      <c r="J279" s="60">
        <v>22800</v>
      </c>
      <c r="K279" s="60">
        <v>0</v>
      </c>
      <c r="L279" s="60"/>
      <c r="M279" s="61">
        <f t="shared" si="2"/>
        <v>5295578</v>
      </c>
    </row>
    <row r="280" spans="1:13" ht="16.5">
      <c r="A280" s="58" t="s">
        <v>321</v>
      </c>
      <c r="B280" s="59" t="s">
        <v>572</v>
      </c>
      <c r="C280" s="60">
        <v>0</v>
      </c>
      <c r="D280" s="60">
        <v>0</v>
      </c>
      <c r="E280" s="60">
        <v>0</v>
      </c>
      <c r="F280" s="60">
        <f>SUM(G280+J280)</f>
        <v>82235735</v>
      </c>
      <c r="G280" s="60">
        <v>0</v>
      </c>
      <c r="H280" s="60">
        <v>0</v>
      </c>
      <c r="I280" s="60">
        <v>0</v>
      </c>
      <c r="J280" s="60">
        <f>86565835-8730000+4000000+399900</f>
        <v>82235735</v>
      </c>
      <c r="K280" s="60">
        <f>86565835-8730000+4000000+399900</f>
        <v>82235735</v>
      </c>
      <c r="L280" s="60"/>
      <c r="M280" s="61">
        <f aca="true" t="shared" si="4" ref="M280:M337">C280+F280</f>
        <v>82235735</v>
      </c>
    </row>
    <row r="281" spans="1:13" ht="39" customHeight="1">
      <c r="A281" s="58" t="s">
        <v>321</v>
      </c>
      <c r="B281" s="59" t="s">
        <v>76</v>
      </c>
      <c r="C281" s="60"/>
      <c r="D281" s="60"/>
      <c r="E281" s="60"/>
      <c r="F281" s="60">
        <f>SUM(J281)</f>
        <v>26962800</v>
      </c>
      <c r="G281" s="60"/>
      <c r="H281" s="60"/>
      <c r="I281" s="60"/>
      <c r="J281" s="60">
        <f>17962800+9000000</f>
        <v>26962800</v>
      </c>
      <c r="K281" s="60">
        <f>17962800+9000000</f>
        <v>26962800</v>
      </c>
      <c r="L281" s="60"/>
      <c r="M281" s="61">
        <f>SUM(F281)</f>
        <v>26962800</v>
      </c>
    </row>
    <row r="282" spans="1:13" ht="153.75" customHeight="1">
      <c r="A282" s="73">
        <v>150104</v>
      </c>
      <c r="B282" s="62" t="s">
        <v>807</v>
      </c>
      <c r="C282" s="60"/>
      <c r="D282" s="60"/>
      <c r="E282" s="60"/>
      <c r="F282" s="60">
        <f>48180000+3000000-51180000</f>
        <v>0</v>
      </c>
      <c r="G282" s="60"/>
      <c r="H282" s="60"/>
      <c r="I282" s="60"/>
      <c r="J282" s="60">
        <f>48180000+3000000-51180000</f>
        <v>0</v>
      </c>
      <c r="K282" s="60">
        <f>48180000+3000000-51180000</f>
        <v>0</v>
      </c>
      <c r="L282" s="60">
        <f>51180000-51180000</f>
        <v>0</v>
      </c>
      <c r="M282" s="61">
        <f>SUM(F282)</f>
        <v>0</v>
      </c>
    </row>
    <row r="283" spans="1:13" ht="33">
      <c r="A283" s="58" t="s">
        <v>275</v>
      </c>
      <c r="B283" s="59" t="s">
        <v>454</v>
      </c>
      <c r="C283" s="60">
        <f>SUM(C284)</f>
        <v>4435.2</v>
      </c>
      <c r="D283" s="60">
        <v>0</v>
      </c>
      <c r="E283" s="60">
        <v>0</v>
      </c>
      <c r="F283" s="60">
        <v>448400</v>
      </c>
      <c r="G283" s="60">
        <v>448400</v>
      </c>
      <c r="H283" s="60">
        <v>0</v>
      </c>
      <c r="I283" s="60">
        <v>0</v>
      </c>
      <c r="J283" s="60">
        <v>0</v>
      </c>
      <c r="K283" s="60">
        <v>0</v>
      </c>
      <c r="L283" s="60"/>
      <c r="M283" s="61">
        <f t="shared" si="4"/>
        <v>452835.2</v>
      </c>
    </row>
    <row r="284" spans="1:13" ht="87" customHeight="1">
      <c r="A284" s="69"/>
      <c r="B284" s="59" t="s">
        <v>34</v>
      </c>
      <c r="C284" s="60">
        <v>4435.2</v>
      </c>
      <c r="D284" s="60"/>
      <c r="E284" s="60"/>
      <c r="F284" s="60"/>
      <c r="G284" s="60"/>
      <c r="H284" s="60"/>
      <c r="I284" s="60"/>
      <c r="J284" s="60"/>
      <c r="K284" s="60"/>
      <c r="L284" s="60"/>
      <c r="M284" s="61">
        <f>SUM(C284)</f>
        <v>4435.2</v>
      </c>
    </row>
    <row r="285" spans="1:13" ht="87" customHeight="1">
      <c r="A285" s="100">
        <v>250304</v>
      </c>
      <c r="B285" s="59" t="s">
        <v>565</v>
      </c>
      <c r="C285" s="60"/>
      <c r="D285" s="60"/>
      <c r="E285" s="60"/>
      <c r="F285" s="60">
        <f>G285+J285</f>
        <v>10500000</v>
      </c>
      <c r="G285" s="60"/>
      <c r="H285" s="60"/>
      <c r="I285" s="60"/>
      <c r="J285" s="60">
        <v>10500000</v>
      </c>
      <c r="K285" s="60">
        <v>10500000</v>
      </c>
      <c r="L285" s="60"/>
      <c r="M285" s="61">
        <f>SUM(F285)</f>
        <v>10500000</v>
      </c>
    </row>
    <row r="286" spans="1:13" ht="159" customHeight="1">
      <c r="A286" s="100">
        <v>250372</v>
      </c>
      <c r="B286" s="106" t="s">
        <v>895</v>
      </c>
      <c r="C286" s="60"/>
      <c r="D286" s="60"/>
      <c r="E286" s="60"/>
      <c r="F286" s="60">
        <f>G286+J286</f>
        <v>51180000</v>
      </c>
      <c r="G286" s="60"/>
      <c r="H286" s="60"/>
      <c r="I286" s="60"/>
      <c r="J286" s="60">
        <v>51180000</v>
      </c>
      <c r="K286" s="60">
        <v>51180000</v>
      </c>
      <c r="L286" s="60">
        <v>51180000</v>
      </c>
      <c r="M286" s="61">
        <f>SUM(F286)</f>
        <v>51180000</v>
      </c>
    </row>
    <row r="287" spans="1:14" ht="33">
      <c r="A287" s="55">
        <v>48</v>
      </c>
      <c r="B287" s="56" t="s">
        <v>652</v>
      </c>
      <c r="C287" s="57">
        <f>SUM(C288+C291+C292)</f>
        <v>10045896.2</v>
      </c>
      <c r="D287" s="57">
        <f>SUM(D288)</f>
        <v>4457190</v>
      </c>
      <c r="E287" s="57">
        <v>139840</v>
      </c>
      <c r="F287" s="57">
        <f>SUM(F289+F290+F291+F294+F295+F297)</f>
        <v>7425700</v>
      </c>
      <c r="G287" s="57">
        <f>SUM(G295)</f>
        <v>737776</v>
      </c>
      <c r="H287" s="57">
        <v>0</v>
      </c>
      <c r="I287" s="57">
        <v>0</v>
      </c>
      <c r="J287" s="57">
        <f>SUM(J289+J290+J291+J294+J295+J297)</f>
        <v>6687924</v>
      </c>
      <c r="K287" s="57">
        <f>SUM(K289+K290+K291+K297)</f>
        <v>2972046</v>
      </c>
      <c r="L287" s="57"/>
      <c r="M287" s="57">
        <f t="shared" si="4"/>
        <v>17471596.2</v>
      </c>
      <c r="N287" s="80"/>
    </row>
    <row r="288" spans="1:13" ht="16.5">
      <c r="A288" s="58" t="s">
        <v>274</v>
      </c>
      <c r="B288" s="59" t="s">
        <v>497</v>
      </c>
      <c r="C288" s="60">
        <f>5207868+578765-284425+1151321</f>
        <v>6653529</v>
      </c>
      <c r="D288" s="60">
        <f>3396440+424626-208572+844696</f>
        <v>4457190</v>
      </c>
      <c r="E288" s="60">
        <v>139840</v>
      </c>
      <c r="F288" s="60">
        <v>0</v>
      </c>
      <c r="G288" s="60">
        <v>0</v>
      </c>
      <c r="H288" s="60">
        <v>0</v>
      </c>
      <c r="I288" s="60">
        <v>0</v>
      </c>
      <c r="J288" s="60">
        <v>0</v>
      </c>
      <c r="K288" s="60">
        <v>0</v>
      </c>
      <c r="L288" s="60"/>
      <c r="M288" s="61">
        <f t="shared" si="4"/>
        <v>6653529</v>
      </c>
    </row>
    <row r="289" spans="1:13" ht="16.5">
      <c r="A289" s="58" t="s">
        <v>321</v>
      </c>
      <c r="B289" s="59" t="s">
        <v>572</v>
      </c>
      <c r="C289" s="60"/>
      <c r="D289" s="60"/>
      <c r="E289" s="60"/>
      <c r="F289" s="60">
        <f>SUM(J289)</f>
        <v>399900</v>
      </c>
      <c r="G289" s="60"/>
      <c r="H289" s="60"/>
      <c r="I289" s="60"/>
      <c r="J289" s="60">
        <v>399900</v>
      </c>
      <c r="K289" s="60">
        <v>399900</v>
      </c>
      <c r="L289" s="60"/>
      <c r="M289" s="61">
        <f>SUM(F289)</f>
        <v>399900</v>
      </c>
    </row>
    <row r="290" spans="1:13" ht="33">
      <c r="A290" s="58" t="s">
        <v>320</v>
      </c>
      <c r="B290" s="62" t="s">
        <v>802</v>
      </c>
      <c r="C290" s="60">
        <v>0</v>
      </c>
      <c r="D290" s="60">
        <v>0</v>
      </c>
      <c r="E290" s="60">
        <v>0</v>
      </c>
      <c r="F290" s="60">
        <v>2188346</v>
      </c>
      <c r="G290" s="60">
        <v>0</v>
      </c>
      <c r="H290" s="60">
        <v>0</v>
      </c>
      <c r="I290" s="60">
        <v>0</v>
      </c>
      <c r="J290" s="60">
        <v>2188346</v>
      </c>
      <c r="K290" s="60">
        <v>2188346</v>
      </c>
      <c r="L290" s="60"/>
      <c r="M290" s="61">
        <f t="shared" si="4"/>
        <v>2188346</v>
      </c>
    </row>
    <row r="291" spans="1:13" ht="16.5">
      <c r="A291" s="58" t="s">
        <v>259</v>
      </c>
      <c r="B291" s="81" t="s">
        <v>124</v>
      </c>
      <c r="C291" s="60">
        <v>3387932</v>
      </c>
      <c r="D291" s="60">
        <v>0</v>
      </c>
      <c r="E291" s="60">
        <v>0</v>
      </c>
      <c r="F291" s="60">
        <v>41800</v>
      </c>
      <c r="G291" s="60">
        <v>0</v>
      </c>
      <c r="H291" s="60">
        <v>0</v>
      </c>
      <c r="I291" s="60">
        <v>0</v>
      </c>
      <c r="J291" s="60">
        <v>41800</v>
      </c>
      <c r="K291" s="60">
        <v>41800</v>
      </c>
      <c r="L291" s="60"/>
      <c r="M291" s="61">
        <f t="shared" si="4"/>
        <v>3429732</v>
      </c>
    </row>
    <row r="292" spans="1:13" ht="41.25" customHeight="1">
      <c r="A292" s="58" t="s">
        <v>275</v>
      </c>
      <c r="B292" s="59" t="s">
        <v>454</v>
      </c>
      <c r="C292" s="84">
        <f>SUM(C293)</f>
        <v>4435.2</v>
      </c>
      <c r="D292" s="60"/>
      <c r="E292" s="60"/>
      <c r="F292" s="60"/>
      <c r="G292" s="60"/>
      <c r="H292" s="60"/>
      <c r="I292" s="60"/>
      <c r="J292" s="60"/>
      <c r="K292" s="60"/>
      <c r="L292" s="60"/>
      <c r="M292" s="61">
        <f>SUM(M293)</f>
        <v>4435.2</v>
      </c>
    </row>
    <row r="293" spans="1:13" ht="87.75" customHeight="1">
      <c r="A293" s="82"/>
      <c r="B293" s="59" t="s">
        <v>34</v>
      </c>
      <c r="C293" s="84">
        <v>4435.2</v>
      </c>
      <c r="D293" s="60"/>
      <c r="E293" s="60"/>
      <c r="F293" s="60"/>
      <c r="G293" s="60"/>
      <c r="H293" s="60"/>
      <c r="I293" s="60"/>
      <c r="J293" s="60"/>
      <c r="K293" s="60"/>
      <c r="L293" s="60"/>
      <c r="M293" s="61">
        <f t="shared" si="4"/>
        <v>4435.2</v>
      </c>
    </row>
    <row r="294" spans="1:13" ht="16.5">
      <c r="A294" s="82" t="s">
        <v>260</v>
      </c>
      <c r="B294" s="83" t="s">
        <v>183</v>
      </c>
      <c r="C294" s="84">
        <v>0</v>
      </c>
      <c r="D294" s="60">
        <v>0</v>
      </c>
      <c r="E294" s="60">
        <v>0</v>
      </c>
      <c r="F294" s="60">
        <f>SUM(J294)</f>
        <v>0</v>
      </c>
      <c r="G294" s="60">
        <v>0</v>
      </c>
      <c r="H294" s="60">
        <v>0</v>
      </c>
      <c r="I294" s="60">
        <v>0</v>
      </c>
      <c r="J294" s="60">
        <f>2459-2459</f>
        <v>0</v>
      </c>
      <c r="K294" s="60">
        <v>0</v>
      </c>
      <c r="L294" s="60"/>
      <c r="M294" s="61">
        <f t="shared" si="4"/>
        <v>0</v>
      </c>
    </row>
    <row r="295" spans="1:13" ht="66">
      <c r="A295" s="58" t="s">
        <v>276</v>
      </c>
      <c r="B295" s="85" t="s">
        <v>189</v>
      </c>
      <c r="C295" s="60">
        <v>0</v>
      </c>
      <c r="D295" s="60">
        <v>0</v>
      </c>
      <c r="E295" s="60">
        <v>0</v>
      </c>
      <c r="F295" s="60">
        <f>SUM(F296)</f>
        <v>4453654</v>
      </c>
      <c r="G295" s="60">
        <f>SUM(G296)</f>
        <v>737776</v>
      </c>
      <c r="H295" s="60">
        <v>0</v>
      </c>
      <c r="I295" s="60">
        <v>0</v>
      </c>
      <c r="J295" s="60">
        <f>SUM(J296)</f>
        <v>3715878</v>
      </c>
      <c r="K295" s="60">
        <v>0</v>
      </c>
      <c r="L295" s="60"/>
      <c r="M295" s="61">
        <f t="shared" si="4"/>
        <v>4453654</v>
      </c>
    </row>
    <row r="296" spans="1:13" ht="33">
      <c r="A296" s="58"/>
      <c r="B296" s="59" t="s">
        <v>803</v>
      </c>
      <c r="C296" s="60"/>
      <c r="D296" s="60"/>
      <c r="E296" s="60"/>
      <c r="F296" s="60">
        <f>SUM(G296+J296)</f>
        <v>4453654</v>
      </c>
      <c r="G296" s="60">
        <f>727776+10000</f>
        <v>737776</v>
      </c>
      <c r="H296" s="60">
        <v>0</v>
      </c>
      <c r="I296" s="60">
        <v>0</v>
      </c>
      <c r="J296" s="60">
        <f>7101351-3385473</f>
        <v>3715878</v>
      </c>
      <c r="K296" s="60"/>
      <c r="L296" s="60"/>
      <c r="M296" s="61">
        <f>SUM(F296)</f>
        <v>4453654</v>
      </c>
    </row>
    <row r="297" spans="1:13" ht="82.5">
      <c r="A297" s="58" t="s">
        <v>261</v>
      </c>
      <c r="B297" s="70" t="s">
        <v>127</v>
      </c>
      <c r="C297" s="60">
        <v>0</v>
      </c>
      <c r="D297" s="60">
        <v>0</v>
      </c>
      <c r="E297" s="60">
        <v>0</v>
      </c>
      <c r="F297" s="60">
        <v>342000</v>
      </c>
      <c r="G297" s="60">
        <v>0</v>
      </c>
      <c r="H297" s="60">
        <v>0</v>
      </c>
      <c r="I297" s="60">
        <v>0</v>
      </c>
      <c r="J297" s="60">
        <v>342000</v>
      </c>
      <c r="K297" s="60">
        <v>342000</v>
      </c>
      <c r="L297" s="60"/>
      <c r="M297" s="61">
        <f t="shared" si="4"/>
        <v>342000</v>
      </c>
    </row>
    <row r="298" spans="1:13" ht="56.25" customHeight="1">
      <c r="A298" s="55">
        <v>52</v>
      </c>
      <c r="B298" s="56" t="s">
        <v>522</v>
      </c>
      <c r="C298" s="57">
        <f>SUM(C299:C301)</f>
        <v>4975862.2</v>
      </c>
      <c r="D298" s="57">
        <f>SUM(D299:D301)</f>
        <v>3160974</v>
      </c>
      <c r="E298" s="57">
        <f>SUM(E299:E301)</f>
        <v>97556</v>
      </c>
      <c r="F298" s="57">
        <f>SUM(F300+F305+F306)</f>
        <v>2781740</v>
      </c>
      <c r="G298" s="57">
        <f>G306</f>
        <v>1746448</v>
      </c>
      <c r="H298" s="57">
        <v>0</v>
      </c>
      <c r="I298" s="57">
        <v>0</v>
      </c>
      <c r="J298" s="57">
        <f>SUM(J300+J305+J306)</f>
        <v>1035292</v>
      </c>
      <c r="K298" s="57">
        <f>SUM(K300)</f>
        <v>399900</v>
      </c>
      <c r="L298" s="57"/>
      <c r="M298" s="57">
        <f t="shared" si="4"/>
        <v>7757602.2</v>
      </c>
    </row>
    <row r="299" spans="1:13" ht="16.5">
      <c r="A299" s="58" t="s">
        <v>274</v>
      </c>
      <c r="B299" s="59" t="s">
        <v>497</v>
      </c>
      <c r="C299" s="60">
        <f>3741876+816046</f>
        <v>4557922</v>
      </c>
      <c r="D299" s="60">
        <f>2445680+598713+116581</f>
        <v>3160974</v>
      </c>
      <c r="E299" s="60">
        <f>145160-47604</f>
        <v>97556</v>
      </c>
      <c r="F299" s="60">
        <v>0</v>
      </c>
      <c r="G299" s="60">
        <v>0</v>
      </c>
      <c r="H299" s="60">
        <v>0</v>
      </c>
      <c r="I299" s="60">
        <v>0</v>
      </c>
      <c r="J299" s="60">
        <v>0</v>
      </c>
      <c r="K299" s="60">
        <v>0</v>
      </c>
      <c r="L299" s="60"/>
      <c r="M299" s="61">
        <f t="shared" si="4"/>
        <v>4557922</v>
      </c>
    </row>
    <row r="300" spans="1:13" ht="16.5">
      <c r="A300" s="58" t="s">
        <v>321</v>
      </c>
      <c r="B300" s="59" t="s">
        <v>572</v>
      </c>
      <c r="C300" s="60"/>
      <c r="D300" s="60"/>
      <c r="E300" s="60"/>
      <c r="F300" s="60">
        <f>SUM(J300)</f>
        <v>399900</v>
      </c>
      <c r="G300" s="60"/>
      <c r="H300" s="60"/>
      <c r="I300" s="60"/>
      <c r="J300" s="60">
        <v>399900</v>
      </c>
      <c r="K300" s="60">
        <v>399900</v>
      </c>
      <c r="L300" s="60"/>
      <c r="M300" s="61">
        <f>SUM(F300)</f>
        <v>399900</v>
      </c>
    </row>
    <row r="301" spans="1:13" ht="33">
      <c r="A301" s="58" t="s">
        <v>275</v>
      </c>
      <c r="B301" s="59" t="s">
        <v>454</v>
      </c>
      <c r="C301" s="60">
        <f>SUM(C302:C304)</f>
        <v>417940.2</v>
      </c>
      <c r="D301" s="60">
        <v>0</v>
      </c>
      <c r="E301" s="60">
        <v>0</v>
      </c>
      <c r="F301" s="60">
        <v>0</v>
      </c>
      <c r="G301" s="60">
        <v>0</v>
      </c>
      <c r="H301" s="60">
        <v>0</v>
      </c>
      <c r="I301" s="60">
        <v>0</v>
      </c>
      <c r="J301" s="60">
        <v>0</v>
      </c>
      <c r="K301" s="60">
        <v>0</v>
      </c>
      <c r="L301" s="60"/>
      <c r="M301" s="61">
        <f t="shared" si="4"/>
        <v>417940.2</v>
      </c>
    </row>
    <row r="302" spans="1:13" ht="49.5">
      <c r="A302" s="58"/>
      <c r="B302" s="86" t="s">
        <v>126</v>
      </c>
      <c r="C302" s="60">
        <f>325178-38000</f>
        <v>287178</v>
      </c>
      <c r="D302" s="60"/>
      <c r="E302" s="60"/>
      <c r="F302" s="60"/>
      <c r="G302" s="60"/>
      <c r="H302" s="60"/>
      <c r="I302" s="60"/>
      <c r="J302" s="60"/>
      <c r="K302" s="60"/>
      <c r="L302" s="60"/>
      <c r="M302" s="61">
        <f>SUM(C302)</f>
        <v>287178</v>
      </c>
    </row>
    <row r="303" spans="1:13" ht="33">
      <c r="A303" s="58"/>
      <c r="B303" s="59" t="s">
        <v>646</v>
      </c>
      <c r="C303" s="60">
        <f>156327-30000</f>
        <v>126327</v>
      </c>
      <c r="D303" s="60"/>
      <c r="E303" s="60"/>
      <c r="F303" s="60"/>
      <c r="G303" s="60"/>
      <c r="H303" s="60"/>
      <c r="I303" s="60"/>
      <c r="J303" s="60"/>
      <c r="K303" s="60"/>
      <c r="L303" s="60"/>
      <c r="M303" s="61">
        <f>SUM(C303)</f>
        <v>126327</v>
      </c>
    </row>
    <row r="304" spans="1:13" ht="87.75" customHeight="1">
      <c r="A304" s="58"/>
      <c r="B304" s="59" t="s">
        <v>34</v>
      </c>
      <c r="C304" s="60">
        <v>4435.2</v>
      </c>
      <c r="D304" s="60"/>
      <c r="E304" s="60"/>
      <c r="F304" s="60"/>
      <c r="G304" s="60"/>
      <c r="H304" s="60"/>
      <c r="I304" s="60"/>
      <c r="J304" s="60"/>
      <c r="K304" s="60"/>
      <c r="L304" s="60"/>
      <c r="M304" s="61">
        <f t="shared" si="4"/>
        <v>4435.2</v>
      </c>
    </row>
    <row r="305" spans="1:13" ht="33">
      <c r="A305" s="58" t="s">
        <v>288</v>
      </c>
      <c r="B305" s="59" t="s">
        <v>927</v>
      </c>
      <c r="C305" s="60">
        <v>0</v>
      </c>
      <c r="D305" s="60">
        <v>0</v>
      </c>
      <c r="E305" s="60">
        <v>0</v>
      </c>
      <c r="F305" s="60">
        <v>450142</v>
      </c>
      <c r="G305" s="60">
        <v>0</v>
      </c>
      <c r="H305" s="60">
        <v>0</v>
      </c>
      <c r="I305" s="60">
        <v>0</v>
      </c>
      <c r="J305" s="60">
        <v>450142</v>
      </c>
      <c r="K305" s="60">
        <v>0</v>
      </c>
      <c r="L305" s="60"/>
      <c r="M305" s="61">
        <f t="shared" si="4"/>
        <v>450142</v>
      </c>
    </row>
    <row r="306" spans="1:13" ht="66">
      <c r="A306" s="58" t="s">
        <v>276</v>
      </c>
      <c r="B306" s="59" t="s">
        <v>189</v>
      </c>
      <c r="C306" s="60">
        <v>0</v>
      </c>
      <c r="D306" s="60">
        <v>0</v>
      </c>
      <c r="E306" s="60">
        <v>0</v>
      </c>
      <c r="F306" s="60">
        <f>SUM(F307)</f>
        <v>1931698</v>
      </c>
      <c r="G306" s="60">
        <f>SUM(G307)</f>
        <v>1746448</v>
      </c>
      <c r="H306" s="60">
        <v>0</v>
      </c>
      <c r="I306" s="60">
        <v>0</v>
      </c>
      <c r="J306" s="60">
        <v>185250</v>
      </c>
      <c r="K306" s="60">
        <v>0</v>
      </c>
      <c r="L306" s="60"/>
      <c r="M306" s="61">
        <f t="shared" si="4"/>
        <v>1931698</v>
      </c>
    </row>
    <row r="307" spans="1:13" ht="33">
      <c r="A307" s="69"/>
      <c r="B307" s="59" t="s">
        <v>803</v>
      </c>
      <c r="C307" s="60"/>
      <c r="D307" s="60"/>
      <c r="E307" s="60"/>
      <c r="F307" s="60">
        <f>SUM(G307+J307)</f>
        <v>1931698</v>
      </c>
      <c r="G307" s="60">
        <f>1736448+10000</f>
        <v>1746448</v>
      </c>
      <c r="H307" s="60">
        <v>0</v>
      </c>
      <c r="I307" s="60">
        <v>0</v>
      </c>
      <c r="J307" s="60">
        <v>185250</v>
      </c>
      <c r="K307" s="60"/>
      <c r="L307" s="60"/>
      <c r="M307" s="61">
        <f>SUM(F307)</f>
        <v>1931698</v>
      </c>
    </row>
    <row r="308" spans="1:13" ht="99">
      <c r="A308" s="55">
        <v>68</v>
      </c>
      <c r="B308" s="56" t="s">
        <v>559</v>
      </c>
      <c r="C308" s="57">
        <f>SUM(C309+C311+C313)</f>
        <v>2290448</v>
      </c>
      <c r="D308" s="57">
        <f>SUM(D309+D311+D313)</f>
        <v>1591251</v>
      </c>
      <c r="E308" s="57">
        <f>SUM(E309+E311+E313)</f>
        <v>20140</v>
      </c>
      <c r="F308" s="57">
        <f>F310+F314</f>
        <v>567100</v>
      </c>
      <c r="G308" s="57">
        <v>167200</v>
      </c>
      <c r="H308" s="57">
        <v>0</v>
      </c>
      <c r="I308" s="57">
        <v>0</v>
      </c>
      <c r="J308" s="57">
        <f>SUM(J310)</f>
        <v>399900</v>
      </c>
      <c r="K308" s="57">
        <f>SUM(K310)</f>
        <v>399900</v>
      </c>
      <c r="L308" s="57"/>
      <c r="M308" s="57">
        <f t="shared" si="4"/>
        <v>2857548</v>
      </c>
    </row>
    <row r="309" spans="1:13" ht="16.5">
      <c r="A309" s="58" t="s">
        <v>274</v>
      </c>
      <c r="B309" s="59" t="s">
        <v>497</v>
      </c>
      <c r="C309" s="60">
        <f>1851427+374909+63921</f>
        <v>2290257</v>
      </c>
      <c r="D309" s="60">
        <f>1220180+275062+70263+25746</f>
        <v>1591251</v>
      </c>
      <c r="E309" s="60">
        <v>20140</v>
      </c>
      <c r="F309" s="60">
        <v>0</v>
      </c>
      <c r="G309" s="60">
        <v>0</v>
      </c>
      <c r="H309" s="60">
        <v>0</v>
      </c>
      <c r="I309" s="60">
        <v>0</v>
      </c>
      <c r="J309" s="60">
        <v>0</v>
      </c>
      <c r="K309" s="60">
        <v>0</v>
      </c>
      <c r="L309" s="60"/>
      <c r="M309" s="61">
        <f t="shared" si="4"/>
        <v>2290257</v>
      </c>
    </row>
    <row r="310" spans="1:13" ht="16.5">
      <c r="A310" s="58" t="s">
        <v>321</v>
      </c>
      <c r="B310" s="59" t="s">
        <v>572</v>
      </c>
      <c r="C310" s="60"/>
      <c r="D310" s="60"/>
      <c r="E310" s="60"/>
      <c r="F310" s="60">
        <f>SUM(J310)</f>
        <v>399900</v>
      </c>
      <c r="G310" s="60"/>
      <c r="H310" s="60"/>
      <c r="I310" s="60"/>
      <c r="J310" s="60">
        <v>399900</v>
      </c>
      <c r="K310" s="60">
        <v>399900</v>
      </c>
      <c r="L310" s="60"/>
      <c r="M310" s="61">
        <f>SUM(F310)</f>
        <v>399900</v>
      </c>
    </row>
    <row r="311" spans="1:13" ht="49.5">
      <c r="A311" s="58" t="s">
        <v>135</v>
      </c>
      <c r="B311" s="87" t="s">
        <v>585</v>
      </c>
      <c r="C311" s="60">
        <f>SUM(C312)</f>
        <v>131</v>
      </c>
      <c r="D311" s="60">
        <v>0</v>
      </c>
      <c r="E311" s="60">
        <v>0</v>
      </c>
      <c r="F311" s="60">
        <v>0</v>
      </c>
      <c r="G311" s="60">
        <v>0</v>
      </c>
      <c r="H311" s="60">
        <v>0</v>
      </c>
      <c r="I311" s="60">
        <v>0</v>
      </c>
      <c r="J311" s="60">
        <v>0</v>
      </c>
      <c r="K311" s="60">
        <v>0</v>
      </c>
      <c r="L311" s="60"/>
      <c r="M311" s="61">
        <f t="shared" si="4"/>
        <v>131</v>
      </c>
    </row>
    <row r="312" spans="1:13" ht="49.5">
      <c r="A312" s="58"/>
      <c r="B312" s="88" t="s">
        <v>576</v>
      </c>
      <c r="C312" s="60">
        <f>87031-86900</f>
        <v>131</v>
      </c>
      <c r="D312" s="60"/>
      <c r="E312" s="60"/>
      <c r="F312" s="60"/>
      <c r="G312" s="60"/>
      <c r="H312" s="60"/>
      <c r="I312" s="60"/>
      <c r="J312" s="60"/>
      <c r="K312" s="60"/>
      <c r="L312" s="60"/>
      <c r="M312" s="61">
        <f>SUM(C312)</f>
        <v>131</v>
      </c>
    </row>
    <row r="313" spans="1:13" ht="33">
      <c r="A313" s="58" t="s">
        <v>287</v>
      </c>
      <c r="B313" s="87" t="s">
        <v>315</v>
      </c>
      <c r="C313" s="60">
        <f>161660-131100-30500</f>
        <v>60</v>
      </c>
      <c r="D313" s="60">
        <v>0</v>
      </c>
      <c r="E313" s="60">
        <v>0</v>
      </c>
      <c r="F313" s="60">
        <v>0</v>
      </c>
      <c r="G313" s="60">
        <v>0</v>
      </c>
      <c r="H313" s="60">
        <v>0</v>
      </c>
      <c r="I313" s="60">
        <v>0</v>
      </c>
      <c r="J313" s="60">
        <v>0</v>
      </c>
      <c r="K313" s="60">
        <v>0</v>
      </c>
      <c r="L313" s="60"/>
      <c r="M313" s="61">
        <f t="shared" si="4"/>
        <v>60</v>
      </c>
    </row>
    <row r="314" spans="1:13" ht="66">
      <c r="A314" s="58" t="s">
        <v>276</v>
      </c>
      <c r="B314" s="59" t="s">
        <v>189</v>
      </c>
      <c r="C314" s="60">
        <v>0</v>
      </c>
      <c r="D314" s="60">
        <v>0</v>
      </c>
      <c r="E314" s="60">
        <v>0</v>
      </c>
      <c r="F314" s="60">
        <v>167200</v>
      </c>
      <c r="G314" s="60">
        <v>167200</v>
      </c>
      <c r="H314" s="60">
        <v>0</v>
      </c>
      <c r="I314" s="60">
        <v>0</v>
      </c>
      <c r="J314" s="60">
        <v>0</v>
      </c>
      <c r="K314" s="60">
        <v>0</v>
      </c>
      <c r="L314" s="60"/>
      <c r="M314" s="61">
        <f t="shared" si="4"/>
        <v>167200</v>
      </c>
    </row>
    <row r="315" spans="1:13" ht="33">
      <c r="A315" s="69"/>
      <c r="B315" s="59" t="s">
        <v>803</v>
      </c>
      <c r="C315" s="60"/>
      <c r="D315" s="60"/>
      <c r="E315" s="60"/>
      <c r="F315" s="60">
        <v>167200</v>
      </c>
      <c r="G315" s="60">
        <v>167200</v>
      </c>
      <c r="H315" s="60"/>
      <c r="I315" s="60"/>
      <c r="J315" s="60"/>
      <c r="K315" s="60"/>
      <c r="L315" s="60"/>
      <c r="M315" s="61">
        <f>SUM(F315)</f>
        <v>167200</v>
      </c>
    </row>
    <row r="316" spans="1:13" ht="49.5">
      <c r="A316" s="55">
        <v>75</v>
      </c>
      <c r="B316" s="56" t="s">
        <v>693</v>
      </c>
      <c r="C316" s="57">
        <f>SUM(C317+C319+C322+C324)</f>
        <v>15580301</v>
      </c>
      <c r="D316" s="57">
        <f>SUM(D317+D319)</f>
        <v>9596345</v>
      </c>
      <c r="E316" s="57">
        <v>292220</v>
      </c>
      <c r="F316" s="57">
        <f>SUM(F317+F318)</f>
        <v>350800</v>
      </c>
      <c r="G316" s="57">
        <v>79800</v>
      </c>
      <c r="H316" s="57">
        <v>0</v>
      </c>
      <c r="I316" s="57">
        <v>0</v>
      </c>
      <c r="J316" s="57">
        <f>SUM(J317+J318)</f>
        <v>271000</v>
      </c>
      <c r="K316" s="57">
        <f>SUM(K317+K318)</f>
        <v>271000</v>
      </c>
      <c r="L316" s="57">
        <f>SUM(L317)</f>
        <v>55000</v>
      </c>
      <c r="M316" s="57">
        <f t="shared" si="4"/>
        <v>15931101</v>
      </c>
    </row>
    <row r="317" spans="1:13" ht="16.5">
      <c r="A317" s="58" t="s">
        <v>274</v>
      </c>
      <c r="B317" s="59" t="s">
        <v>497</v>
      </c>
      <c r="C317" s="60">
        <f>11001760-166152+166152+2947358+19603</f>
        <v>13968721</v>
      </c>
      <c r="D317" s="60">
        <f>7425960-121902+121902+2162405</f>
        <v>9588365</v>
      </c>
      <c r="E317" s="60">
        <v>292220</v>
      </c>
      <c r="F317" s="60">
        <f>SUM(G317+J317)</f>
        <v>134800</v>
      </c>
      <c r="G317" s="60">
        <v>79800</v>
      </c>
      <c r="H317" s="60">
        <v>0</v>
      </c>
      <c r="I317" s="60">
        <v>0</v>
      </c>
      <c r="J317" s="60">
        <v>55000</v>
      </c>
      <c r="K317" s="60">
        <v>55000</v>
      </c>
      <c r="L317" s="60">
        <v>55000</v>
      </c>
      <c r="M317" s="61">
        <f t="shared" si="4"/>
        <v>14103521</v>
      </c>
    </row>
    <row r="318" spans="1:13" ht="16.5">
      <c r="A318" s="58" t="s">
        <v>321</v>
      </c>
      <c r="B318" s="59" t="s">
        <v>572</v>
      </c>
      <c r="C318" s="60"/>
      <c r="D318" s="60"/>
      <c r="E318" s="60"/>
      <c r="F318" s="60">
        <f>SUM(J318)</f>
        <v>216000</v>
      </c>
      <c r="G318" s="60"/>
      <c r="H318" s="60"/>
      <c r="I318" s="60"/>
      <c r="J318" s="60">
        <v>216000</v>
      </c>
      <c r="K318" s="60">
        <v>216000</v>
      </c>
      <c r="L318" s="60"/>
      <c r="M318" s="61">
        <f>SUM(F318)</f>
        <v>216000</v>
      </c>
    </row>
    <row r="319" spans="1:13" ht="33">
      <c r="A319" s="58" t="s">
        <v>275</v>
      </c>
      <c r="B319" s="59" t="s">
        <v>318</v>
      </c>
      <c r="C319" s="60">
        <f>SUM(C320:C321)</f>
        <v>1366480</v>
      </c>
      <c r="D319" s="60">
        <v>7980</v>
      </c>
      <c r="E319" s="60">
        <v>0</v>
      </c>
      <c r="F319" s="60">
        <v>0</v>
      </c>
      <c r="G319" s="60">
        <v>0</v>
      </c>
      <c r="H319" s="60">
        <v>0</v>
      </c>
      <c r="I319" s="60">
        <v>0</v>
      </c>
      <c r="J319" s="60">
        <v>0</v>
      </c>
      <c r="K319" s="60">
        <v>0</v>
      </c>
      <c r="L319" s="60"/>
      <c r="M319" s="61">
        <f t="shared" si="4"/>
        <v>1366480</v>
      </c>
    </row>
    <row r="320" spans="1:13" ht="102" customHeight="1">
      <c r="A320" s="58"/>
      <c r="B320" s="59" t="s">
        <v>635</v>
      </c>
      <c r="C320" s="60">
        <f>171000+300000+842500</f>
        <v>1313500</v>
      </c>
      <c r="D320" s="60"/>
      <c r="E320" s="60"/>
      <c r="F320" s="60"/>
      <c r="G320" s="60"/>
      <c r="H320" s="60"/>
      <c r="I320" s="60"/>
      <c r="J320" s="60"/>
      <c r="K320" s="60"/>
      <c r="L320" s="60"/>
      <c r="M320" s="61">
        <f>SUM(C320)</f>
        <v>1313500</v>
      </c>
    </row>
    <row r="321" spans="1:13" ht="33">
      <c r="A321" s="58"/>
      <c r="B321" s="59" t="s">
        <v>647</v>
      </c>
      <c r="C321" s="60">
        <f>102980-50000</f>
        <v>52980</v>
      </c>
      <c r="D321" s="60"/>
      <c r="E321" s="60"/>
      <c r="F321" s="60"/>
      <c r="G321" s="60"/>
      <c r="H321" s="60"/>
      <c r="I321" s="60"/>
      <c r="J321" s="60"/>
      <c r="K321" s="60"/>
      <c r="L321" s="60"/>
      <c r="M321" s="61">
        <f>SUM(C321)</f>
        <v>52980</v>
      </c>
    </row>
    <row r="322" spans="1:13" ht="59.25" customHeight="1">
      <c r="A322" s="58" t="s">
        <v>135</v>
      </c>
      <c r="B322" s="87" t="s">
        <v>585</v>
      </c>
      <c r="C322" s="60">
        <v>245100</v>
      </c>
      <c r="D322" s="60">
        <v>0</v>
      </c>
      <c r="E322" s="60">
        <v>0</v>
      </c>
      <c r="F322" s="60">
        <v>0</v>
      </c>
      <c r="G322" s="60">
        <v>0</v>
      </c>
      <c r="H322" s="60">
        <v>0</v>
      </c>
      <c r="I322" s="60">
        <v>0</v>
      </c>
      <c r="J322" s="60">
        <v>0</v>
      </c>
      <c r="K322" s="60">
        <v>0</v>
      </c>
      <c r="L322" s="60"/>
      <c r="M322" s="61">
        <f t="shared" si="4"/>
        <v>245100</v>
      </c>
    </row>
    <row r="323" spans="1:13" ht="59.25" customHeight="1">
      <c r="A323" s="58"/>
      <c r="B323" s="59" t="s">
        <v>762</v>
      </c>
      <c r="C323" s="60">
        <v>245100</v>
      </c>
      <c r="D323" s="60"/>
      <c r="E323" s="60"/>
      <c r="F323" s="60"/>
      <c r="G323" s="60"/>
      <c r="H323" s="60"/>
      <c r="I323" s="60"/>
      <c r="J323" s="60"/>
      <c r="K323" s="60"/>
      <c r="L323" s="60"/>
      <c r="M323" s="61">
        <f>SUM(C323)</f>
        <v>245100</v>
      </c>
    </row>
    <row r="324" spans="1:13" ht="16.5">
      <c r="A324" s="58" t="s">
        <v>277</v>
      </c>
      <c r="B324" s="59" t="s">
        <v>591</v>
      </c>
      <c r="C324" s="60">
        <f>3800-3800</f>
        <v>0</v>
      </c>
      <c r="D324" s="60">
        <v>0</v>
      </c>
      <c r="E324" s="60">
        <v>0</v>
      </c>
      <c r="F324" s="60">
        <v>0</v>
      </c>
      <c r="G324" s="60">
        <v>0</v>
      </c>
      <c r="H324" s="60">
        <v>0</v>
      </c>
      <c r="I324" s="60">
        <v>0</v>
      </c>
      <c r="J324" s="60">
        <v>0</v>
      </c>
      <c r="K324" s="60">
        <v>0</v>
      </c>
      <c r="L324" s="60"/>
      <c r="M324" s="61">
        <f t="shared" si="4"/>
        <v>0</v>
      </c>
    </row>
    <row r="325" spans="1:13" ht="49.5">
      <c r="A325" s="55">
        <v>76</v>
      </c>
      <c r="B325" s="56" t="s">
        <v>693</v>
      </c>
      <c r="C325" s="57">
        <f>SUM(C326+C327+C328+C329+C330+C331+C332+C335+C336)</f>
        <v>41734038.95</v>
      </c>
      <c r="D325" s="57">
        <v>0</v>
      </c>
      <c r="E325" s="57">
        <v>0</v>
      </c>
      <c r="F325" s="57">
        <v>1137720</v>
      </c>
      <c r="G325" s="57">
        <v>95832</v>
      </c>
      <c r="H325" s="57">
        <v>0</v>
      </c>
      <c r="I325" s="57">
        <v>0</v>
      </c>
      <c r="J325" s="57">
        <v>1041888</v>
      </c>
      <c r="K325" s="57">
        <v>0</v>
      </c>
      <c r="L325" s="57"/>
      <c r="M325" s="57">
        <f t="shared" si="4"/>
        <v>42871758.95</v>
      </c>
    </row>
    <row r="326" spans="1:13" ht="16.5">
      <c r="A326" s="58" t="s">
        <v>136</v>
      </c>
      <c r="B326" s="89" t="s">
        <v>852</v>
      </c>
      <c r="C326" s="60">
        <f>8427117-363671-497306+183300+176657.35+3800-6457465-300000+648100-140600-225000-427000-296550</f>
        <v>731382.3499999996</v>
      </c>
      <c r="D326" s="60">
        <v>0</v>
      </c>
      <c r="E326" s="60">
        <v>0</v>
      </c>
      <c r="F326" s="60">
        <v>0</v>
      </c>
      <c r="G326" s="60">
        <v>0</v>
      </c>
      <c r="H326" s="60">
        <v>0</v>
      </c>
      <c r="I326" s="60">
        <v>0</v>
      </c>
      <c r="J326" s="60">
        <v>0</v>
      </c>
      <c r="K326" s="60">
        <v>0</v>
      </c>
      <c r="L326" s="60"/>
      <c r="M326" s="61">
        <f t="shared" si="4"/>
        <v>731382.3499999996</v>
      </c>
    </row>
    <row r="327" spans="1:13" ht="69.75" customHeight="1">
      <c r="A327" s="58" t="s">
        <v>137</v>
      </c>
      <c r="B327" s="59" t="s">
        <v>587</v>
      </c>
      <c r="C327" s="60">
        <v>1019795</v>
      </c>
      <c r="D327" s="60">
        <v>0</v>
      </c>
      <c r="E327" s="60">
        <v>0</v>
      </c>
      <c r="F327" s="60">
        <v>0</v>
      </c>
      <c r="G327" s="60">
        <v>0</v>
      </c>
      <c r="H327" s="60">
        <v>0</v>
      </c>
      <c r="I327" s="60">
        <v>0</v>
      </c>
      <c r="J327" s="60">
        <v>0</v>
      </c>
      <c r="K327" s="60">
        <v>0</v>
      </c>
      <c r="L327" s="60"/>
      <c r="M327" s="61">
        <f t="shared" si="4"/>
        <v>1019795</v>
      </c>
    </row>
    <row r="328" spans="1:13" ht="66">
      <c r="A328" s="73">
        <v>250313</v>
      </c>
      <c r="B328" s="88" t="s">
        <v>789</v>
      </c>
      <c r="C328" s="60">
        <f>100000+600000+2650000</f>
        <v>3350000</v>
      </c>
      <c r="D328" s="60"/>
      <c r="E328" s="60"/>
      <c r="F328" s="60"/>
      <c r="G328" s="60"/>
      <c r="H328" s="60"/>
      <c r="I328" s="60"/>
      <c r="J328" s="60"/>
      <c r="K328" s="60"/>
      <c r="L328" s="60"/>
      <c r="M328" s="61">
        <f t="shared" si="4"/>
        <v>3350000</v>
      </c>
    </row>
    <row r="329" spans="1:13" ht="16.5">
      <c r="A329" s="58" t="s">
        <v>138</v>
      </c>
      <c r="B329" s="59" t="s">
        <v>644</v>
      </c>
      <c r="C329" s="60">
        <f>3848385+13143019</f>
        <v>16991404</v>
      </c>
      <c r="D329" s="60">
        <v>0</v>
      </c>
      <c r="E329" s="60">
        <v>0</v>
      </c>
      <c r="F329" s="60">
        <v>0</v>
      </c>
      <c r="G329" s="60">
        <v>0</v>
      </c>
      <c r="H329" s="60">
        <v>0</v>
      </c>
      <c r="I329" s="60">
        <v>0</v>
      </c>
      <c r="J329" s="60">
        <v>0</v>
      </c>
      <c r="K329" s="60">
        <v>0</v>
      </c>
      <c r="L329" s="60"/>
      <c r="M329" s="61">
        <f t="shared" si="4"/>
        <v>16991404</v>
      </c>
    </row>
    <row r="330" spans="1:13" ht="124.5" customHeight="1">
      <c r="A330" s="58" t="s">
        <v>139</v>
      </c>
      <c r="B330" s="59" t="s">
        <v>617</v>
      </c>
      <c r="C330" s="60">
        <f>10427770+7014700</f>
        <v>17442470</v>
      </c>
      <c r="D330" s="60">
        <v>0</v>
      </c>
      <c r="E330" s="60">
        <v>0</v>
      </c>
      <c r="F330" s="60">
        <v>0</v>
      </c>
      <c r="G330" s="60">
        <v>0</v>
      </c>
      <c r="H330" s="60">
        <v>0</v>
      </c>
      <c r="I330" s="60">
        <v>0</v>
      </c>
      <c r="J330" s="60">
        <v>0</v>
      </c>
      <c r="K330" s="60">
        <v>0</v>
      </c>
      <c r="L330" s="60"/>
      <c r="M330" s="61">
        <f t="shared" si="4"/>
        <v>17442470</v>
      </c>
    </row>
    <row r="331" spans="1:13" ht="138" customHeight="1">
      <c r="A331" s="73">
        <v>250353</v>
      </c>
      <c r="B331" s="59" t="s">
        <v>935</v>
      </c>
      <c r="C331" s="60">
        <f>375700+35481.6</f>
        <v>411181.6</v>
      </c>
      <c r="D331" s="60"/>
      <c r="E331" s="60"/>
      <c r="F331" s="60"/>
      <c r="G331" s="60"/>
      <c r="H331" s="60"/>
      <c r="I331" s="60"/>
      <c r="J331" s="60"/>
      <c r="K331" s="60"/>
      <c r="L331" s="60"/>
      <c r="M331" s="61">
        <v>375700</v>
      </c>
    </row>
    <row r="332" spans="1:13" ht="80.25" customHeight="1">
      <c r="A332" s="58" t="s">
        <v>247</v>
      </c>
      <c r="B332" s="59" t="s">
        <v>951</v>
      </c>
      <c r="C332" s="60">
        <v>0</v>
      </c>
      <c r="D332" s="60">
        <v>0</v>
      </c>
      <c r="E332" s="60">
        <v>0</v>
      </c>
      <c r="F332" s="60">
        <v>1137720</v>
      </c>
      <c r="G332" s="60">
        <v>95832</v>
      </c>
      <c r="H332" s="60">
        <v>0</v>
      </c>
      <c r="I332" s="60">
        <v>0</v>
      </c>
      <c r="J332" s="60">
        <v>1041888</v>
      </c>
      <c r="K332" s="60">
        <v>0</v>
      </c>
      <c r="L332" s="60"/>
      <c r="M332" s="61">
        <f t="shared" si="4"/>
        <v>1137720</v>
      </c>
    </row>
    <row r="333" spans="1:13" ht="33">
      <c r="A333" s="58"/>
      <c r="B333" s="59" t="s">
        <v>900</v>
      </c>
      <c r="C333" s="60"/>
      <c r="D333" s="60"/>
      <c r="E333" s="60"/>
      <c r="F333" s="76">
        <f>SUM(G333+J333)</f>
        <v>200366</v>
      </c>
      <c r="G333" s="76">
        <v>95832</v>
      </c>
      <c r="H333" s="90"/>
      <c r="I333" s="90"/>
      <c r="J333" s="76">
        <v>104534</v>
      </c>
      <c r="K333" s="60"/>
      <c r="L333" s="60"/>
      <c r="M333" s="61">
        <f>SUM(F333)</f>
        <v>200366</v>
      </c>
    </row>
    <row r="334" spans="1:13" ht="33">
      <c r="A334" s="58"/>
      <c r="B334" s="59" t="s">
        <v>896</v>
      </c>
      <c r="C334" s="60"/>
      <c r="D334" s="60"/>
      <c r="E334" s="60"/>
      <c r="F334" s="76">
        <f>SUM(J334)</f>
        <v>937354</v>
      </c>
      <c r="G334" s="76"/>
      <c r="H334" s="90"/>
      <c r="I334" s="90"/>
      <c r="J334" s="76">
        <v>937354</v>
      </c>
      <c r="K334" s="60"/>
      <c r="L334" s="60"/>
      <c r="M334" s="61">
        <f>SUM(F334)</f>
        <v>937354</v>
      </c>
    </row>
    <row r="335" spans="1:13" ht="85.5" customHeight="1">
      <c r="A335" s="58" t="s">
        <v>244</v>
      </c>
      <c r="B335" s="70" t="s">
        <v>334</v>
      </c>
      <c r="C335" s="60">
        <v>136040</v>
      </c>
      <c r="D335" s="60">
        <v>0</v>
      </c>
      <c r="E335" s="60">
        <v>0</v>
      </c>
      <c r="F335" s="60">
        <v>0</v>
      </c>
      <c r="G335" s="60">
        <v>0</v>
      </c>
      <c r="H335" s="60">
        <v>0</v>
      </c>
      <c r="I335" s="60">
        <v>0</v>
      </c>
      <c r="J335" s="60">
        <v>0</v>
      </c>
      <c r="K335" s="60">
        <v>0</v>
      </c>
      <c r="L335" s="60"/>
      <c r="M335" s="61">
        <f t="shared" si="4"/>
        <v>136040</v>
      </c>
    </row>
    <row r="336" spans="1:13" ht="16.5">
      <c r="A336" s="58" t="s">
        <v>140</v>
      </c>
      <c r="B336" s="70" t="s">
        <v>586</v>
      </c>
      <c r="C336" s="60">
        <f>825883+306976+518907</f>
        <v>1651766</v>
      </c>
      <c r="D336" s="60">
        <v>0</v>
      </c>
      <c r="E336" s="60">
        <v>0</v>
      </c>
      <c r="F336" s="60">
        <v>0</v>
      </c>
      <c r="G336" s="60">
        <v>0</v>
      </c>
      <c r="H336" s="60">
        <v>0</v>
      </c>
      <c r="I336" s="60">
        <v>0</v>
      </c>
      <c r="J336" s="60">
        <v>0</v>
      </c>
      <c r="K336" s="60">
        <v>0</v>
      </c>
      <c r="L336" s="60"/>
      <c r="M336" s="61">
        <f t="shared" si="4"/>
        <v>1651766</v>
      </c>
    </row>
    <row r="337" spans="1:13" ht="17.25" thickBot="1">
      <c r="A337" s="91" t="s">
        <v>853</v>
      </c>
      <c r="B337" s="92"/>
      <c r="C337" s="93">
        <f>SUM(C15+C25+C47+C61+C75+C106+C215+C219+C227+C229+C244+C249+C260+C278+C287+C298+C308+C316+C325)</f>
        <v>2254650913.9999995</v>
      </c>
      <c r="D337" s="93">
        <f>D15+D25+D47+D61+D75+D106+D215+D219+D227+D229+D244+D249+D260+D278+D287+D298+D308+D316</f>
        <v>973383157.28</v>
      </c>
      <c r="E337" s="93">
        <f>E15+E25+E47+E61+E75+E106+E215+E219+E227+E229+E244+E249+E260+E278+E287+E298+E308+E316+E325</f>
        <v>80184925.23</v>
      </c>
      <c r="F337" s="93">
        <f>F15+F25+F47+F61+F75+F106+F215+F219+F227+F229+F244+F249+F260+F278+F287+F298+F308+F316+F325</f>
        <v>399907866</v>
      </c>
      <c r="G337" s="93">
        <f>G15+G25+G47+G61+G75+G106+G215+G219+G227+G229+G244+G249+G260+G278+G287+G298+G308+G316+G325</f>
        <v>89345434</v>
      </c>
      <c r="H337" s="93">
        <v>9288229</v>
      </c>
      <c r="I337" s="93">
        <v>1653483</v>
      </c>
      <c r="J337" s="93">
        <f>J15+J25+J47+J61+J75+J106+J215+J219+J227+J229+J244+J249+J260+J278+J287+J298+J308+J316+J325</f>
        <v>310562432</v>
      </c>
      <c r="K337" s="93">
        <f>SUM(K15+K25+K47+K61+K75+K106+K215+K219+K227+K229+K244+K249+K260+K278+K287+K298+K308+K316+K325)</f>
        <v>285121426</v>
      </c>
      <c r="L337" s="93">
        <f>SUM(L278+L15+L316+L61+L75)</f>
        <v>65072100</v>
      </c>
      <c r="M337" s="93">
        <f t="shared" si="4"/>
        <v>2654558779.9999995</v>
      </c>
    </row>
    <row r="339" spans="3:13" ht="16.5">
      <c r="C339" s="80"/>
      <c r="D339" s="80"/>
      <c r="E339" s="80"/>
      <c r="F339" s="80"/>
      <c r="G339" s="80"/>
      <c r="H339" s="80"/>
      <c r="I339" s="80"/>
      <c r="J339" s="80"/>
      <c r="K339" s="80"/>
      <c r="L339" s="80"/>
      <c r="M339" s="80"/>
    </row>
    <row r="340" spans="2:9" ht="16.5">
      <c r="B340" s="94"/>
      <c r="I340" s="94"/>
    </row>
    <row r="342" spans="2:9" ht="16.5">
      <c r="B342" s="95"/>
      <c r="C342" s="96"/>
      <c r="D342" s="96"/>
      <c r="E342" s="96"/>
      <c r="F342" s="96"/>
      <c r="G342" s="96"/>
      <c r="H342" s="96"/>
      <c r="I342" s="97"/>
    </row>
    <row r="343" spans="2:9" ht="16.5">
      <c r="B343" s="95"/>
      <c r="C343" s="96"/>
      <c r="D343" s="96"/>
      <c r="E343" s="96"/>
      <c r="F343" s="96"/>
      <c r="G343" s="96"/>
      <c r="H343" s="96"/>
      <c r="I343" s="97"/>
    </row>
    <row r="344" ht="16.5">
      <c r="K344" s="443"/>
    </row>
    <row r="345" spans="3:13" ht="16.5">
      <c r="C345" s="80">
        <f>SUM(Прил2!C204)</f>
        <v>2255463127.9999995</v>
      </c>
      <c r="D345" s="80">
        <f>SUM(Прил2!D204)</f>
        <v>974000986.28</v>
      </c>
      <c r="E345" s="80">
        <f>SUM(Прил2!E204)</f>
        <v>80184925.22999999</v>
      </c>
      <c r="F345" s="80">
        <f>SUM(Прил2!F204)</f>
        <v>399907866</v>
      </c>
      <c r="G345" s="80">
        <f>SUM(Прил2!G204)</f>
        <v>89345434</v>
      </c>
      <c r="H345" s="80">
        <f>SUM(Прил2!H204)</f>
        <v>9288229</v>
      </c>
      <c r="I345" s="80">
        <f>SUM(Прил2!I204)</f>
        <v>1653483</v>
      </c>
      <c r="J345" s="80">
        <f>SUM(Прил2!J204)</f>
        <v>310562432</v>
      </c>
      <c r="K345" s="80">
        <f>SUM(Прил2!K204)</f>
        <v>285121426</v>
      </c>
      <c r="L345" s="80">
        <f>SUM(Прил2!L204)</f>
        <v>65072100</v>
      </c>
      <c r="M345" s="80">
        <f>SUM(Прил2!M204)</f>
        <v>2655370993.9999995</v>
      </c>
    </row>
    <row r="346" spans="3:13" ht="16.5">
      <c r="C346" s="80">
        <f>SUM(C345-C337)</f>
        <v>812214</v>
      </c>
      <c r="D346" s="80">
        <f aca="true" t="shared" si="5" ref="D346:M346">SUM(D345-D337)</f>
        <v>617829</v>
      </c>
      <c r="E346" s="80">
        <f t="shared" si="5"/>
        <v>-1.4901161193847656E-08</v>
      </c>
      <c r="F346" s="80">
        <f t="shared" si="5"/>
        <v>0</v>
      </c>
      <c r="G346" s="80">
        <f t="shared" si="5"/>
        <v>0</v>
      </c>
      <c r="H346" s="80">
        <f t="shared" si="5"/>
        <v>0</v>
      </c>
      <c r="I346" s="80">
        <f t="shared" si="5"/>
        <v>0</v>
      </c>
      <c r="J346" s="80">
        <f t="shared" si="5"/>
        <v>0</v>
      </c>
      <c r="K346" s="80">
        <f t="shared" si="5"/>
        <v>0</v>
      </c>
      <c r="L346" s="80">
        <f t="shared" si="5"/>
        <v>0</v>
      </c>
      <c r="M346" s="80">
        <f t="shared" si="5"/>
        <v>812214</v>
      </c>
    </row>
    <row r="347" spans="3:13" ht="16.5">
      <c r="C347" s="80"/>
      <c r="D347" s="80"/>
      <c r="E347" s="80"/>
      <c r="F347" s="80"/>
      <c r="G347" s="80"/>
      <c r="H347" s="80"/>
      <c r="I347" s="80"/>
      <c r="J347" s="80"/>
      <c r="K347" s="80"/>
      <c r="L347" s="80"/>
      <c r="M347" s="80"/>
    </row>
    <row r="350" ht="16.5">
      <c r="K350" s="80"/>
    </row>
  </sheetData>
  <mergeCells count="21">
    <mergeCell ref="M10:M13"/>
    <mergeCell ref="C10:E10"/>
    <mergeCell ref="F10:L10"/>
    <mergeCell ref="C11:C13"/>
    <mergeCell ref="K11:L11"/>
    <mergeCell ref="F11:F13"/>
    <mergeCell ref="I12:I13"/>
    <mergeCell ref="C7:N7"/>
    <mergeCell ref="G11:G13"/>
    <mergeCell ref="H11:I11"/>
    <mergeCell ref="J11:J13"/>
    <mergeCell ref="A8:M8"/>
    <mergeCell ref="A10:A11"/>
    <mergeCell ref="B10:B11"/>
    <mergeCell ref="H12:H13"/>
    <mergeCell ref="B12:B13"/>
    <mergeCell ref="D12:D13"/>
    <mergeCell ref="K12:K13"/>
    <mergeCell ref="D11:E11"/>
    <mergeCell ref="A12:A13"/>
    <mergeCell ref="E12:E13"/>
  </mergeCells>
  <printOptions/>
  <pageMargins left="0.16" right="0.17" top="0.82" bottom="0.34" header="0.5" footer="0.28"/>
  <pageSetup horizontalDpi="600" verticalDpi="600" orientation="landscape" paperSize="9" scale="37" r:id="rId2"/>
  <rowBreaks count="4" manualBreakCount="4">
    <brk id="179" max="12" man="1"/>
    <brk id="197" max="12" man="1"/>
    <brk id="237" max="12" man="1"/>
    <brk id="269" max="12" man="1"/>
  </rowBreaks>
  <drawing r:id="rId1"/>
</worksheet>
</file>

<file path=xl/worksheets/sheet4.xml><?xml version="1.0" encoding="utf-8"?>
<worksheet xmlns="http://schemas.openxmlformats.org/spreadsheetml/2006/main" xmlns:r="http://schemas.openxmlformats.org/officeDocument/2006/relationships">
  <dimension ref="A1:M19"/>
  <sheetViews>
    <sheetView view="pageBreakPreview" zoomScale="60" workbookViewId="0" topLeftCell="A1">
      <selection activeCell="E5" sqref="E5"/>
    </sheetView>
  </sheetViews>
  <sheetFormatPr defaultColWidth="9.140625" defaultRowHeight="12.75"/>
  <cols>
    <col min="1" max="2" width="31.00390625" style="0" customWidth="1"/>
    <col min="3" max="3" width="13.7109375" style="0" customWidth="1"/>
    <col min="4" max="4" width="17.00390625" style="0" customWidth="1"/>
    <col min="5" max="5" width="11.8515625" style="0" customWidth="1"/>
    <col min="6" max="6" width="12.421875" style="0" customWidth="1"/>
    <col min="7" max="7" width="13.28125" style="0" customWidth="1"/>
    <col min="8" max="8" width="11.140625" style="0" customWidth="1"/>
    <col min="9" max="9" width="11.8515625" style="0" customWidth="1"/>
    <col min="10" max="10" width="11.00390625" style="0" customWidth="1"/>
    <col min="11" max="11" width="13.00390625" style="0" customWidth="1"/>
    <col min="12" max="12" width="11.7109375" style="0" customWidth="1"/>
    <col min="13" max="13" width="12.28125" style="0" customWidth="1"/>
  </cols>
  <sheetData>
    <row r="1" spans="1:13" ht="16.5">
      <c r="A1" s="47"/>
      <c r="B1" s="47"/>
      <c r="C1" s="47"/>
      <c r="D1" s="47"/>
      <c r="E1" s="47"/>
      <c r="F1" s="47"/>
      <c r="G1" s="47"/>
      <c r="H1" s="47"/>
      <c r="I1" s="47"/>
      <c r="J1" s="47"/>
      <c r="K1" s="48" t="s">
        <v>332</v>
      </c>
      <c r="L1" s="47"/>
      <c r="M1" s="47"/>
    </row>
    <row r="2" spans="1:13" ht="16.5">
      <c r="A2" s="47"/>
      <c r="B2" s="47"/>
      <c r="C2" s="47"/>
      <c r="D2" s="47"/>
      <c r="E2" s="47"/>
      <c r="F2" s="47"/>
      <c r="G2" s="47"/>
      <c r="H2" s="47"/>
      <c r="I2" s="47"/>
      <c r="J2" s="47"/>
      <c r="K2" s="48" t="s">
        <v>143</v>
      </c>
      <c r="L2" s="47"/>
      <c r="M2" s="47"/>
    </row>
    <row r="3" spans="1:13" ht="16.5">
      <c r="A3" s="47"/>
      <c r="B3" s="47"/>
      <c r="C3" s="47"/>
      <c r="D3" s="47"/>
      <c r="E3" s="47"/>
      <c r="F3" s="47"/>
      <c r="G3" s="47"/>
      <c r="H3" s="47"/>
      <c r="I3" s="47"/>
      <c r="J3" s="47"/>
      <c r="K3" s="49" t="s">
        <v>457</v>
      </c>
      <c r="L3" s="47"/>
      <c r="M3" s="47"/>
    </row>
    <row r="4" spans="1:13" ht="16.5">
      <c r="A4" s="47"/>
      <c r="B4" s="47"/>
      <c r="C4" s="47"/>
      <c r="D4" s="47"/>
      <c r="E4" s="47"/>
      <c r="F4" s="47"/>
      <c r="G4" s="47"/>
      <c r="H4" s="47"/>
      <c r="I4" s="47"/>
      <c r="J4" s="47"/>
      <c r="K4" s="49" t="s">
        <v>578</v>
      </c>
      <c r="L4" s="47"/>
      <c r="M4" s="47"/>
    </row>
    <row r="5" spans="1:13" ht="16.5">
      <c r="A5" s="47"/>
      <c r="B5" s="47"/>
      <c r="C5" s="47"/>
      <c r="D5" s="47"/>
      <c r="E5" s="47"/>
      <c r="F5" s="47"/>
      <c r="G5" s="47"/>
      <c r="H5" s="47"/>
      <c r="I5" s="47"/>
      <c r="J5" s="47"/>
      <c r="K5" s="709" t="s">
        <v>115</v>
      </c>
      <c r="L5" s="99"/>
      <c r="M5" s="47"/>
    </row>
    <row r="6" spans="1:13" ht="16.5">
      <c r="A6" s="47"/>
      <c r="B6" s="47"/>
      <c r="C6" s="47"/>
      <c r="D6" s="47"/>
      <c r="E6" s="47"/>
      <c r="F6" s="47"/>
      <c r="G6" s="47"/>
      <c r="H6" s="47"/>
      <c r="I6" s="47"/>
      <c r="J6" s="47"/>
      <c r="K6" s="47"/>
      <c r="L6" s="47"/>
      <c r="M6" s="47"/>
    </row>
    <row r="7" spans="1:13" ht="16.5">
      <c r="A7" s="50"/>
      <c r="B7" s="51"/>
      <c r="C7" s="617" t="s">
        <v>659</v>
      </c>
      <c r="D7" s="618"/>
      <c r="E7" s="618"/>
      <c r="F7" s="618"/>
      <c r="G7" s="618"/>
      <c r="H7" s="618"/>
      <c r="I7" s="618"/>
      <c r="J7" s="618"/>
      <c r="K7" s="618"/>
      <c r="L7" s="618"/>
      <c r="M7" s="618"/>
    </row>
    <row r="8" spans="1:13" ht="16.5">
      <c r="A8" s="579"/>
      <c r="B8" s="580"/>
      <c r="C8" s="580"/>
      <c r="D8" s="580"/>
      <c r="E8" s="580"/>
      <c r="F8" s="580"/>
      <c r="G8" s="580"/>
      <c r="H8" s="580"/>
      <c r="I8" s="580"/>
      <c r="J8" s="580"/>
      <c r="K8" s="580"/>
      <c r="L8" s="580"/>
      <c r="M8" s="580"/>
    </row>
    <row r="9" spans="1:13" ht="17.25" thickBot="1">
      <c r="A9" s="47"/>
      <c r="B9" s="47"/>
      <c r="C9" s="47"/>
      <c r="D9" s="47"/>
      <c r="E9" s="47"/>
      <c r="F9" s="47"/>
      <c r="G9" s="47"/>
      <c r="H9" s="47"/>
      <c r="I9" s="47"/>
      <c r="J9" s="47"/>
      <c r="K9" s="47"/>
      <c r="L9" s="47"/>
      <c r="M9" s="52" t="s">
        <v>523</v>
      </c>
    </row>
    <row r="10" spans="1:13" ht="17.25" thickBot="1">
      <c r="A10" s="581" t="s">
        <v>272</v>
      </c>
      <c r="B10" s="583" t="s">
        <v>141</v>
      </c>
      <c r="C10" s="612" t="s">
        <v>186</v>
      </c>
      <c r="D10" s="588"/>
      <c r="E10" s="589"/>
      <c r="F10" s="612" t="s">
        <v>654</v>
      </c>
      <c r="G10" s="588"/>
      <c r="H10" s="588"/>
      <c r="I10" s="588"/>
      <c r="J10" s="588"/>
      <c r="K10" s="588"/>
      <c r="L10" s="590"/>
      <c r="M10" s="586" t="s">
        <v>496</v>
      </c>
    </row>
    <row r="11" spans="1:13" ht="17.25" thickBot="1">
      <c r="A11" s="582"/>
      <c r="B11" s="584"/>
      <c r="C11" s="591" t="s">
        <v>495</v>
      </c>
      <c r="D11" s="612" t="s">
        <v>655</v>
      </c>
      <c r="E11" s="613"/>
      <c r="F11" s="621" t="s">
        <v>495</v>
      </c>
      <c r="G11" s="610" t="s">
        <v>640</v>
      </c>
      <c r="H11" s="612" t="s">
        <v>655</v>
      </c>
      <c r="I11" s="613"/>
      <c r="J11" s="621" t="s">
        <v>641</v>
      </c>
      <c r="K11" s="612" t="s">
        <v>655</v>
      </c>
      <c r="L11" s="613"/>
      <c r="M11" s="587"/>
    </row>
    <row r="12" spans="1:13" ht="17.25" thickBot="1">
      <c r="A12" s="614" t="s">
        <v>588</v>
      </c>
      <c r="B12" s="621" t="s">
        <v>589</v>
      </c>
      <c r="C12" s="587"/>
      <c r="D12" s="610" t="s">
        <v>939</v>
      </c>
      <c r="E12" s="610" t="s">
        <v>639</v>
      </c>
      <c r="F12" s="622"/>
      <c r="G12" s="619"/>
      <c r="H12" s="610" t="s">
        <v>939</v>
      </c>
      <c r="I12" s="610" t="s">
        <v>639</v>
      </c>
      <c r="J12" s="622"/>
      <c r="K12" s="610" t="s">
        <v>642</v>
      </c>
      <c r="L12" s="53" t="s">
        <v>643</v>
      </c>
      <c r="M12" s="587"/>
    </row>
    <row r="13" spans="1:13" ht="248.25" thickBot="1">
      <c r="A13" s="615"/>
      <c r="B13" s="585"/>
      <c r="C13" s="578"/>
      <c r="D13" s="616"/>
      <c r="E13" s="616"/>
      <c r="F13" s="578"/>
      <c r="G13" s="620"/>
      <c r="H13" s="616"/>
      <c r="I13" s="616"/>
      <c r="J13" s="578"/>
      <c r="K13" s="611"/>
      <c r="L13" s="46" t="s">
        <v>796</v>
      </c>
      <c r="M13" s="578"/>
    </row>
    <row r="14" spans="1:13" ht="16.5">
      <c r="A14" s="552">
        <v>1</v>
      </c>
      <c r="B14" s="553">
        <v>2</v>
      </c>
      <c r="C14" s="554">
        <v>3</v>
      </c>
      <c r="D14" s="554">
        <v>4</v>
      </c>
      <c r="E14" s="554">
        <v>5</v>
      </c>
      <c r="F14" s="554">
        <v>6</v>
      </c>
      <c r="G14" s="554">
        <v>7</v>
      </c>
      <c r="H14" s="554">
        <v>8</v>
      </c>
      <c r="I14" s="554">
        <v>9</v>
      </c>
      <c r="J14" s="554">
        <v>10</v>
      </c>
      <c r="K14" s="554">
        <v>11</v>
      </c>
      <c r="L14" s="554">
        <v>12</v>
      </c>
      <c r="M14" s="54" t="s">
        <v>273</v>
      </c>
    </row>
    <row r="15" spans="1:13" ht="25.5">
      <c r="A15" s="557">
        <v>17</v>
      </c>
      <c r="B15" s="558" t="s">
        <v>331</v>
      </c>
      <c r="C15" s="557">
        <v>744805</v>
      </c>
      <c r="D15" s="557">
        <v>567669</v>
      </c>
      <c r="E15" s="557"/>
      <c r="F15" s="557"/>
      <c r="G15" s="557"/>
      <c r="H15" s="557"/>
      <c r="I15" s="557"/>
      <c r="J15" s="557"/>
      <c r="K15" s="557"/>
      <c r="L15" s="557"/>
      <c r="M15" s="557">
        <f>SUM(C15)</f>
        <v>744805</v>
      </c>
    </row>
    <row r="16" spans="1:13" ht="12.75">
      <c r="A16" s="555" t="s">
        <v>329</v>
      </c>
      <c r="B16" s="2" t="s">
        <v>497</v>
      </c>
      <c r="C16" s="555">
        <v>744805</v>
      </c>
      <c r="D16" s="555">
        <v>567669</v>
      </c>
      <c r="E16" s="555"/>
      <c r="F16" s="555"/>
      <c r="G16" s="555"/>
      <c r="H16" s="555"/>
      <c r="I16" s="555"/>
      <c r="J16" s="555"/>
      <c r="K16" s="555"/>
      <c r="L16" s="555"/>
      <c r="M16" s="555">
        <f>SUM(C16)</f>
        <v>744805</v>
      </c>
    </row>
    <row r="17" spans="1:13" ht="38.25">
      <c r="A17" s="557">
        <v>11</v>
      </c>
      <c r="B17" s="558" t="s">
        <v>330</v>
      </c>
      <c r="C17" s="557">
        <v>67409</v>
      </c>
      <c r="D17" s="557">
        <v>50160</v>
      </c>
      <c r="E17" s="557"/>
      <c r="F17" s="557"/>
      <c r="G17" s="557"/>
      <c r="H17" s="559"/>
      <c r="I17" s="559"/>
      <c r="J17" s="559"/>
      <c r="K17" s="559"/>
      <c r="L17" s="559"/>
      <c r="M17" s="557">
        <f>SUM(C17)</f>
        <v>67409</v>
      </c>
    </row>
    <row r="18" spans="1:13" ht="12.75">
      <c r="A18" s="555" t="s">
        <v>329</v>
      </c>
      <c r="B18" s="2" t="s">
        <v>497</v>
      </c>
      <c r="C18" s="556">
        <v>67409</v>
      </c>
      <c r="D18" s="556">
        <v>50160</v>
      </c>
      <c r="E18" s="555"/>
      <c r="F18" s="555"/>
      <c r="G18" s="555"/>
      <c r="H18" s="555"/>
      <c r="I18" s="555"/>
      <c r="J18" s="555"/>
      <c r="K18" s="555"/>
      <c r="L18" s="555"/>
      <c r="M18" s="555">
        <f>SUM(C18)</f>
        <v>67409</v>
      </c>
    </row>
    <row r="19" spans="1:13" ht="12.75">
      <c r="A19" s="555" t="s">
        <v>495</v>
      </c>
      <c r="B19" s="555"/>
      <c r="C19" s="555">
        <f>SUM(C15+C17)</f>
        <v>812214</v>
      </c>
      <c r="D19" s="555">
        <f>SUM(D15+D17)</f>
        <v>617829</v>
      </c>
      <c r="E19" s="555"/>
      <c r="F19" s="555"/>
      <c r="G19" s="555"/>
      <c r="H19" s="555"/>
      <c r="I19" s="555"/>
      <c r="J19" s="555"/>
      <c r="K19" s="555"/>
      <c r="L19" s="555"/>
      <c r="M19" s="555">
        <f>SUM(C19)</f>
        <v>812214</v>
      </c>
    </row>
  </sheetData>
  <mergeCells count="21">
    <mergeCell ref="C7:M7"/>
    <mergeCell ref="A8:M8"/>
    <mergeCell ref="A10:A11"/>
    <mergeCell ref="B10:B11"/>
    <mergeCell ref="C10:E10"/>
    <mergeCell ref="F10:L10"/>
    <mergeCell ref="M10:M13"/>
    <mergeCell ref="C11:C13"/>
    <mergeCell ref="D11:E11"/>
    <mergeCell ref="F11:F13"/>
    <mergeCell ref="G11:G13"/>
    <mergeCell ref="H11:I11"/>
    <mergeCell ref="J11:J13"/>
    <mergeCell ref="K11:L11"/>
    <mergeCell ref="H12:H13"/>
    <mergeCell ref="I12:I13"/>
    <mergeCell ref="K12:K13"/>
    <mergeCell ref="A12:A13"/>
    <mergeCell ref="B12:B13"/>
    <mergeCell ref="D12:D13"/>
    <mergeCell ref="E12:E13"/>
  </mergeCells>
  <printOptions/>
  <pageMargins left="0.75" right="0.75" top="1" bottom="1" header="0.5" footer="0.5"/>
  <pageSetup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dimension ref="A1:Q34"/>
  <sheetViews>
    <sheetView view="pageBreakPreview" zoomScale="60" workbookViewId="0" topLeftCell="A19">
      <selection activeCell="A6" sqref="A6:N6"/>
    </sheetView>
  </sheetViews>
  <sheetFormatPr defaultColWidth="9.140625" defaultRowHeight="12.75"/>
  <cols>
    <col min="1" max="1" width="14.00390625" style="486" customWidth="1"/>
    <col min="2" max="2" width="26.7109375" style="486" customWidth="1"/>
    <col min="3" max="3" width="17.28125" style="486" customWidth="1"/>
    <col min="4" max="4" width="17.421875" style="486" customWidth="1"/>
    <col min="5" max="5" width="17.140625" style="486" customWidth="1"/>
    <col min="6" max="6" width="21.00390625" style="486" customWidth="1"/>
    <col min="7" max="7" width="25.8515625" style="486" customWidth="1"/>
    <col min="8" max="8" width="19.57421875" style="486" customWidth="1"/>
    <col min="9" max="9" width="25.140625" style="486" customWidth="1"/>
    <col min="10" max="10" width="22.140625" style="486" customWidth="1"/>
    <col min="11" max="11" width="23.140625" style="486" customWidth="1"/>
    <col min="12" max="12" width="18.8515625" style="486" customWidth="1"/>
    <col min="13" max="13" width="18.140625" style="486" customWidth="1"/>
    <col min="14" max="14" width="19.140625" style="486" customWidth="1"/>
    <col min="15" max="15" width="17.57421875" style="486" customWidth="1"/>
    <col min="16" max="16384" width="9.140625" style="486" customWidth="1"/>
  </cols>
  <sheetData>
    <row r="1" spans="13:17" ht="15.75">
      <c r="M1" s="487" t="s">
        <v>405</v>
      </c>
      <c r="N1" s="487"/>
      <c r="O1" s="488"/>
      <c r="Q1" s="488"/>
    </row>
    <row r="2" spans="13:17" ht="16.5" customHeight="1">
      <c r="M2" s="487" t="s">
        <v>143</v>
      </c>
      <c r="N2" s="487"/>
      <c r="O2" s="488"/>
      <c r="Q2" s="488"/>
    </row>
    <row r="3" spans="13:17" ht="18.75" customHeight="1">
      <c r="M3" s="489" t="s">
        <v>457</v>
      </c>
      <c r="N3" s="490"/>
      <c r="O3" s="488"/>
      <c r="Q3" s="488"/>
    </row>
    <row r="4" spans="13:17" ht="18" customHeight="1">
      <c r="M4" s="489" t="s">
        <v>578</v>
      </c>
      <c r="N4" s="491"/>
      <c r="O4" s="488"/>
      <c r="Q4" s="488"/>
    </row>
    <row r="5" spans="13:17" ht="29.25" customHeight="1">
      <c r="M5" s="709" t="s">
        <v>111</v>
      </c>
      <c r="N5" s="99"/>
      <c r="O5" s="488"/>
      <c r="Q5" s="488"/>
    </row>
    <row r="6" spans="1:14" ht="34.5" customHeight="1">
      <c r="A6" s="629" t="s">
        <v>406</v>
      </c>
      <c r="B6" s="629"/>
      <c r="C6" s="629"/>
      <c r="D6" s="629"/>
      <c r="E6" s="629"/>
      <c r="F6" s="629"/>
      <c r="G6" s="629"/>
      <c r="H6" s="629"/>
      <c r="I6" s="629"/>
      <c r="J6" s="629"/>
      <c r="K6" s="629"/>
      <c r="L6" s="629"/>
      <c r="M6" s="629"/>
      <c r="N6" s="629"/>
    </row>
    <row r="7" spans="1:14" ht="16.5" customHeight="1" thickBot="1">
      <c r="A7" s="630" t="s">
        <v>523</v>
      </c>
      <c r="B7" s="630"/>
      <c r="C7" s="630"/>
      <c r="D7" s="630"/>
      <c r="E7" s="630"/>
      <c r="F7" s="630"/>
      <c r="G7" s="630"/>
      <c r="H7" s="630"/>
      <c r="I7" s="630"/>
      <c r="J7" s="630"/>
      <c r="K7" s="630"/>
      <c r="L7" s="630"/>
      <c r="M7" s="630"/>
      <c r="N7" s="630"/>
    </row>
    <row r="8" spans="1:15" ht="20.25" customHeight="1" thickBot="1">
      <c r="A8" s="631" t="s">
        <v>213</v>
      </c>
      <c r="B8" s="627" t="s">
        <v>214</v>
      </c>
      <c r="C8" s="627" t="s">
        <v>215</v>
      </c>
      <c r="D8" s="627"/>
      <c r="E8" s="627"/>
      <c r="F8" s="627"/>
      <c r="G8" s="627"/>
      <c r="H8" s="627"/>
      <c r="I8" s="627"/>
      <c r="J8" s="627"/>
      <c r="K8" s="627"/>
      <c r="L8" s="627"/>
      <c r="M8" s="627"/>
      <c r="N8" s="627"/>
      <c r="O8" s="626" t="s">
        <v>496</v>
      </c>
    </row>
    <row r="9" spans="1:15" ht="60" customHeight="1" thickBot="1">
      <c r="A9" s="632"/>
      <c r="B9" s="627"/>
      <c r="C9" s="627" t="s">
        <v>152</v>
      </c>
      <c r="D9" s="627"/>
      <c r="E9" s="627"/>
      <c r="F9" s="627"/>
      <c r="G9" s="627"/>
      <c r="H9" s="627"/>
      <c r="I9" s="627"/>
      <c r="J9" s="627"/>
      <c r="K9" s="627"/>
      <c r="L9" s="627"/>
      <c r="M9" s="627" t="s">
        <v>154</v>
      </c>
      <c r="N9" s="627"/>
      <c r="O9" s="626"/>
    </row>
    <row r="10" spans="1:15" ht="24.75" customHeight="1" thickBot="1">
      <c r="A10" s="632"/>
      <c r="B10" s="627"/>
      <c r="C10" s="627" t="s">
        <v>216</v>
      </c>
      <c r="D10" s="627"/>
      <c r="E10" s="627" t="s">
        <v>217</v>
      </c>
      <c r="F10" s="627"/>
      <c r="G10" s="627" t="s">
        <v>218</v>
      </c>
      <c r="H10" s="627"/>
      <c r="I10" s="628" t="s">
        <v>219</v>
      </c>
      <c r="J10" s="628" t="s">
        <v>220</v>
      </c>
      <c r="K10" s="628" t="s">
        <v>789</v>
      </c>
      <c r="L10" s="627" t="s">
        <v>221</v>
      </c>
      <c r="M10" s="634" t="s">
        <v>222</v>
      </c>
      <c r="N10" s="634" t="s">
        <v>223</v>
      </c>
      <c r="O10" s="626"/>
    </row>
    <row r="11" spans="1:15" ht="120.75" customHeight="1" thickBot="1">
      <c r="A11" s="632"/>
      <c r="B11" s="627"/>
      <c r="C11" s="627"/>
      <c r="D11" s="627"/>
      <c r="E11" s="627"/>
      <c r="F11" s="627"/>
      <c r="G11" s="627"/>
      <c r="H11" s="627"/>
      <c r="I11" s="628"/>
      <c r="J11" s="628"/>
      <c r="K11" s="628"/>
      <c r="L11" s="627"/>
      <c r="M11" s="634"/>
      <c r="N11" s="634"/>
      <c r="O11" s="626"/>
    </row>
    <row r="12" spans="1:15" ht="162.75" customHeight="1" thickBot="1">
      <c r="A12" s="633"/>
      <c r="B12" s="627"/>
      <c r="C12" s="492" t="s">
        <v>224</v>
      </c>
      <c r="D12" s="492" t="s">
        <v>225</v>
      </c>
      <c r="E12" s="492" t="s">
        <v>224</v>
      </c>
      <c r="F12" s="492" t="s">
        <v>225</v>
      </c>
      <c r="G12" s="627"/>
      <c r="H12" s="627"/>
      <c r="I12" s="628"/>
      <c r="J12" s="628"/>
      <c r="K12" s="628"/>
      <c r="L12" s="627"/>
      <c r="M12" s="634"/>
      <c r="N12" s="634"/>
      <c r="O12" s="626"/>
    </row>
    <row r="13" spans="1:15" ht="33" customHeight="1">
      <c r="A13" s="493" t="s">
        <v>226</v>
      </c>
      <c r="B13" s="494" t="s">
        <v>227</v>
      </c>
      <c r="C13" s="495"/>
      <c r="D13" s="495"/>
      <c r="E13" s="496"/>
      <c r="F13" s="496"/>
      <c r="G13" s="565"/>
      <c r="H13" s="560"/>
      <c r="I13" s="497"/>
      <c r="J13" s="498">
        <v>518907</v>
      </c>
      <c r="K13" s="498"/>
      <c r="L13" s="499">
        <f>SUM(J13)</f>
        <v>518907</v>
      </c>
      <c r="M13" s="499">
        <v>83494</v>
      </c>
      <c r="N13" s="498">
        <v>390366</v>
      </c>
      <c r="O13" s="500">
        <f>SUM(L13:N13)</f>
        <v>992767</v>
      </c>
    </row>
    <row r="14" spans="1:15" ht="18.75" customHeight="1">
      <c r="A14" s="493" t="s">
        <v>228</v>
      </c>
      <c r="B14" s="501" t="s">
        <v>229</v>
      </c>
      <c r="C14" s="502">
        <v>1019795</v>
      </c>
      <c r="D14" s="502">
        <v>0.59</v>
      </c>
      <c r="E14" s="503">
        <v>3848385</v>
      </c>
      <c r="F14" s="503"/>
      <c r="G14" s="561">
        <f>2638530+1545080+2687000</f>
        <v>6870610</v>
      </c>
      <c r="H14" s="562"/>
      <c r="I14" s="502">
        <v>75620</v>
      </c>
      <c r="J14" s="502"/>
      <c r="K14" s="502"/>
      <c r="L14" s="504">
        <f>SUM(C14+E14+G14+I14+J14)</f>
        <v>11814410</v>
      </c>
      <c r="M14" s="504">
        <v>42837</v>
      </c>
      <c r="N14" s="502">
        <v>200743</v>
      </c>
      <c r="O14" s="505">
        <f>SUM(L14:N14)</f>
        <v>12057990</v>
      </c>
    </row>
    <row r="15" spans="1:15" ht="19.5" customHeight="1">
      <c r="A15" s="493" t="s">
        <v>230</v>
      </c>
      <c r="B15" s="501" t="s">
        <v>231</v>
      </c>
      <c r="C15" s="502"/>
      <c r="D15" s="502"/>
      <c r="E15" s="503"/>
      <c r="F15" s="503"/>
      <c r="G15" s="561">
        <f>4432130+1812030+4327700</f>
        <v>10571860</v>
      </c>
      <c r="H15" s="562"/>
      <c r="I15" s="502">
        <v>60420</v>
      </c>
      <c r="J15" s="502">
        <v>306976</v>
      </c>
      <c r="K15" s="502">
        <f>100000+600000+2650000</f>
        <v>3350000</v>
      </c>
      <c r="L15" s="504">
        <f>SUM(G15+I15+J15+K15)</f>
        <v>14289256</v>
      </c>
      <c r="M15" s="504">
        <v>74035</v>
      </c>
      <c r="N15" s="502">
        <v>346245</v>
      </c>
      <c r="O15" s="505">
        <f>SUM(L15:N15)</f>
        <v>14709536</v>
      </c>
    </row>
    <row r="16" spans="1:15" ht="18.75">
      <c r="A16" s="493"/>
      <c r="B16" s="506" t="s">
        <v>232</v>
      </c>
      <c r="C16" s="502">
        <f>SUM(C13:C14)</f>
        <v>1019795</v>
      </c>
      <c r="D16" s="502">
        <f>SUM(D13:D14)</f>
        <v>0.59</v>
      </c>
      <c r="E16" s="503">
        <f>SUM(E14)</f>
        <v>3848385</v>
      </c>
      <c r="F16" s="503">
        <f>SUM(F14)</f>
        <v>0</v>
      </c>
      <c r="G16" s="561">
        <f>SUM(G14:H15)</f>
        <v>17442470</v>
      </c>
      <c r="H16" s="562"/>
      <c r="I16" s="502">
        <f>SUM(I13:I15)</f>
        <v>136040</v>
      </c>
      <c r="J16" s="502"/>
      <c r="K16" s="502">
        <f>SUM(K15)</f>
        <v>3350000</v>
      </c>
      <c r="L16" s="504">
        <f>SUM(L13:L15)</f>
        <v>26622573</v>
      </c>
      <c r="M16" s="504">
        <f>SUM(M13:M15)</f>
        <v>200366</v>
      </c>
      <c r="N16" s="502">
        <f>SUM(N13:N15)</f>
        <v>937354</v>
      </c>
      <c r="O16" s="505">
        <f>SUM(L16:N16)</f>
        <v>27760293</v>
      </c>
    </row>
    <row r="17" spans="1:15" ht="18.75">
      <c r="A17" s="507"/>
      <c r="B17" s="508" t="s">
        <v>233</v>
      </c>
      <c r="C17" s="509">
        <f>SUM(C16)</f>
        <v>1019795</v>
      </c>
      <c r="D17" s="509"/>
      <c r="E17" s="510"/>
      <c r="F17" s="510"/>
      <c r="G17" s="623"/>
      <c r="H17" s="624"/>
      <c r="I17" s="509"/>
      <c r="J17" s="509"/>
      <c r="K17" s="509"/>
      <c r="L17" s="504">
        <f>SUM(I17)</f>
        <v>0</v>
      </c>
      <c r="M17" s="504">
        <f>SUM(M16)</f>
        <v>200366</v>
      </c>
      <c r="N17" s="511"/>
      <c r="O17" s="505">
        <f>SUM(M17)</f>
        <v>200366</v>
      </c>
    </row>
    <row r="18" spans="1:15" ht="33" thickBot="1">
      <c r="A18" s="512"/>
      <c r="B18" s="513" t="s">
        <v>234</v>
      </c>
      <c r="C18" s="514"/>
      <c r="D18" s="514"/>
      <c r="E18" s="515">
        <f>SUM(E16)</f>
        <v>3848385</v>
      </c>
      <c r="F18" s="515"/>
      <c r="G18" s="516"/>
      <c r="H18" s="517"/>
      <c r="I18" s="514">
        <v>136040</v>
      </c>
      <c r="J18" s="514"/>
      <c r="K18" s="514"/>
      <c r="L18" s="518">
        <f>SUM(I18)</f>
        <v>136040</v>
      </c>
      <c r="M18" s="518"/>
      <c r="N18" s="519">
        <f>SUM(N16)</f>
        <v>937354</v>
      </c>
      <c r="O18" s="520">
        <f>SUM(L18+N18)</f>
        <v>1073394</v>
      </c>
    </row>
    <row r="19" spans="1:15" ht="25.5" customHeight="1" thickBot="1">
      <c r="A19" s="521"/>
      <c r="B19" s="522" t="s">
        <v>512</v>
      </c>
      <c r="C19" s="523">
        <f>SUM(C16)</f>
        <v>1019795</v>
      </c>
      <c r="D19" s="523">
        <f>D16+D17</f>
        <v>0.59</v>
      </c>
      <c r="E19" s="523">
        <f>SUM(E16)</f>
        <v>3848385</v>
      </c>
      <c r="F19" s="523"/>
      <c r="G19" s="625">
        <f>SUM(G14:H15)</f>
        <v>17442470</v>
      </c>
      <c r="H19" s="625"/>
      <c r="I19" s="523">
        <f>SUM(I16)</f>
        <v>136040</v>
      </c>
      <c r="J19" s="523">
        <f>SUM(J13:J15)</f>
        <v>825883</v>
      </c>
      <c r="K19" s="523">
        <f>SUM(K16)</f>
        <v>3350000</v>
      </c>
      <c r="L19" s="524">
        <f>SUM(L16)</f>
        <v>26622573</v>
      </c>
      <c r="M19" s="524">
        <f>SUM(M16)</f>
        <v>200366</v>
      </c>
      <c r="N19" s="523">
        <f>SUM(N16)</f>
        <v>937354</v>
      </c>
      <c r="O19" s="523">
        <f>SUM(L19:N19)</f>
        <v>27760293</v>
      </c>
    </row>
    <row r="20" spans="12:13" ht="15.75">
      <c r="L20" s="525"/>
      <c r="M20" s="525"/>
    </row>
    <row r="21" spans="4:12" ht="15.75">
      <c r="D21" s="526"/>
      <c r="E21" s="526">
        <f>C19+E19</f>
        <v>4868180</v>
      </c>
      <c r="L21" s="526"/>
    </row>
    <row r="22" spans="12:15" ht="16.5" thickBot="1">
      <c r="L22" s="526"/>
      <c r="M22" s="526"/>
      <c r="N22" s="527"/>
      <c r="O22" s="527"/>
    </row>
    <row r="23" spans="1:11" ht="26.25" customHeight="1" thickBot="1">
      <c r="A23" s="566" t="s">
        <v>213</v>
      </c>
      <c r="B23" s="566" t="s">
        <v>214</v>
      </c>
      <c r="C23" s="569" t="s">
        <v>235</v>
      </c>
      <c r="D23" s="570"/>
      <c r="E23" s="570"/>
      <c r="F23" s="570"/>
      <c r="G23" s="571"/>
      <c r="H23" s="572"/>
      <c r="I23" s="528"/>
      <c r="J23" s="528"/>
      <c r="K23" s="528"/>
    </row>
    <row r="24" spans="1:11" ht="18.75" customHeight="1" thickBot="1">
      <c r="A24" s="567"/>
      <c r="B24" s="567"/>
      <c r="C24" s="573" t="s">
        <v>236</v>
      </c>
      <c r="D24" s="574"/>
      <c r="E24" s="574"/>
      <c r="F24" s="574"/>
      <c r="G24" s="575"/>
      <c r="H24" s="576"/>
      <c r="I24" s="529"/>
      <c r="J24" s="529"/>
      <c r="K24" s="529"/>
    </row>
    <row r="25" spans="1:11" ht="192" customHeight="1" thickBot="1">
      <c r="A25" s="567"/>
      <c r="B25" s="567"/>
      <c r="C25" s="577" t="s">
        <v>237</v>
      </c>
      <c r="D25" s="563"/>
      <c r="E25" s="577" t="s">
        <v>238</v>
      </c>
      <c r="F25" s="577" t="s">
        <v>239</v>
      </c>
      <c r="G25" s="577" t="s">
        <v>240</v>
      </c>
      <c r="H25" s="564" t="s">
        <v>495</v>
      </c>
      <c r="I25" s="529"/>
      <c r="J25" s="529"/>
      <c r="K25" s="529"/>
    </row>
    <row r="26" spans="1:11" ht="159" customHeight="1" thickBot="1">
      <c r="A26" s="568"/>
      <c r="B26" s="568"/>
      <c r="C26" s="531" t="s">
        <v>224</v>
      </c>
      <c r="D26" s="530" t="s">
        <v>225</v>
      </c>
      <c r="E26" s="577"/>
      <c r="F26" s="577"/>
      <c r="G26" s="563"/>
      <c r="H26" s="564"/>
      <c r="I26" s="532"/>
      <c r="J26" s="532"/>
      <c r="K26" s="532"/>
    </row>
    <row r="27" spans="1:11" ht="32.25">
      <c r="A27" s="533" t="s">
        <v>226</v>
      </c>
      <c r="B27" s="534" t="s">
        <v>227</v>
      </c>
      <c r="C27" s="535">
        <v>4406100</v>
      </c>
      <c r="D27" s="536">
        <v>41</v>
      </c>
      <c r="E27" s="536">
        <v>115900</v>
      </c>
      <c r="F27" s="536">
        <v>518907</v>
      </c>
      <c r="G27" s="498">
        <v>1685680</v>
      </c>
      <c r="H27" s="537">
        <f>SUM(C27+E27+F27+G27)</f>
        <v>6726587</v>
      </c>
      <c r="I27" s="538"/>
      <c r="J27" s="538"/>
      <c r="K27" s="538"/>
    </row>
    <row r="28" spans="1:11" ht="26.25" customHeight="1">
      <c r="A28" s="539" t="s">
        <v>228</v>
      </c>
      <c r="B28" s="501" t="s">
        <v>229</v>
      </c>
      <c r="C28" s="540"/>
      <c r="D28" s="509"/>
      <c r="E28" s="509"/>
      <c r="F28" s="509"/>
      <c r="G28" s="502">
        <v>1545080</v>
      </c>
      <c r="H28" s="537">
        <f>SUM(C28+E28+G28)</f>
        <v>1545080</v>
      </c>
      <c r="I28" s="538"/>
      <c r="J28" s="538"/>
      <c r="K28" s="538"/>
    </row>
    <row r="29" spans="1:11" ht="20.25" customHeight="1">
      <c r="A29" s="541" t="s">
        <v>230</v>
      </c>
      <c r="B29" s="501" t="s">
        <v>231</v>
      </c>
      <c r="C29" s="540">
        <v>2645940</v>
      </c>
      <c r="D29" s="509">
        <v>20.35</v>
      </c>
      <c r="E29" s="509"/>
      <c r="F29" s="509">
        <v>306976</v>
      </c>
      <c r="G29" s="502">
        <v>1812030</v>
      </c>
      <c r="H29" s="537">
        <f>SUM(C29+F29+G29)</f>
        <v>4764946</v>
      </c>
      <c r="I29" s="538"/>
      <c r="J29" s="538"/>
      <c r="K29" s="538"/>
    </row>
    <row r="30" spans="1:11" ht="16.5" customHeight="1" thickBot="1">
      <c r="A30" s="542"/>
      <c r="B30" s="501" t="s">
        <v>232</v>
      </c>
      <c r="C30" s="543">
        <f>SUM(C27:C29)</f>
        <v>7052040</v>
      </c>
      <c r="D30" s="519"/>
      <c r="E30" s="519">
        <f>SUM(E27:E29)</f>
        <v>115900</v>
      </c>
      <c r="F30" s="519">
        <f>SUM(F27:F29)</f>
        <v>825883</v>
      </c>
      <c r="G30" s="519">
        <f>SUM(G27:G29)</f>
        <v>5042790</v>
      </c>
      <c r="H30" s="544">
        <f>SUM(H27:H29)</f>
        <v>13036613</v>
      </c>
      <c r="I30" s="538"/>
      <c r="J30" s="538"/>
      <c r="K30" s="538"/>
    </row>
    <row r="31" spans="1:11" ht="19.5" thickBot="1">
      <c r="A31" s="545"/>
      <c r="B31" s="546" t="s">
        <v>512</v>
      </c>
      <c r="C31" s="547">
        <f>SUM(C30)</f>
        <v>7052040</v>
      </c>
      <c r="D31" s="547"/>
      <c r="E31" s="547">
        <f>SUM(E30)</f>
        <v>115900</v>
      </c>
      <c r="F31" s="547">
        <f>SUM(F30)</f>
        <v>825883</v>
      </c>
      <c r="G31" s="548">
        <f>SUM(G30)</f>
        <v>5042790</v>
      </c>
      <c r="H31" s="549">
        <f>SUM(H30)</f>
        <v>13036613</v>
      </c>
      <c r="I31" s="550"/>
      <c r="J31" s="550"/>
      <c r="K31" s="550"/>
    </row>
    <row r="33" spans="1:8" ht="15.75">
      <c r="A33" s="551"/>
      <c r="B33" s="41"/>
      <c r="C33" s="42"/>
      <c r="D33" s="42"/>
      <c r="E33" s="42"/>
      <c r="F33" s="42"/>
      <c r="G33" s="42"/>
      <c r="H33" s="42"/>
    </row>
    <row r="34" spans="1:8" ht="15.75">
      <c r="A34" s="551"/>
      <c r="B34" s="41"/>
      <c r="C34" s="42"/>
      <c r="D34" s="42"/>
      <c r="E34" s="42"/>
      <c r="F34" s="42"/>
      <c r="G34" s="42"/>
      <c r="H34" s="42"/>
    </row>
  </sheetData>
  <mergeCells count="32">
    <mergeCell ref="K10:K12"/>
    <mergeCell ref="L10:L12"/>
    <mergeCell ref="A6:N6"/>
    <mergeCell ref="A7:N7"/>
    <mergeCell ref="A8:A12"/>
    <mergeCell ref="B8:B12"/>
    <mergeCell ref="C8:N8"/>
    <mergeCell ref="M10:M12"/>
    <mergeCell ref="N10:N12"/>
    <mergeCell ref="G17:H17"/>
    <mergeCell ref="G19:H19"/>
    <mergeCell ref="O8:O12"/>
    <mergeCell ref="C9:L9"/>
    <mergeCell ref="M9:N9"/>
    <mergeCell ref="C10:D11"/>
    <mergeCell ref="E10:F11"/>
    <mergeCell ref="G10:H12"/>
    <mergeCell ref="I10:I12"/>
    <mergeCell ref="J10:J12"/>
    <mergeCell ref="G13:H13"/>
    <mergeCell ref="G14:H14"/>
    <mergeCell ref="G15:H15"/>
    <mergeCell ref="G16:H16"/>
    <mergeCell ref="A23:A26"/>
    <mergeCell ref="B23:B26"/>
    <mergeCell ref="C23:H23"/>
    <mergeCell ref="C24:H24"/>
    <mergeCell ref="C25:D25"/>
    <mergeCell ref="E25:E26"/>
    <mergeCell ref="F25:F26"/>
    <mergeCell ref="G25:G26"/>
    <mergeCell ref="H25:H26"/>
  </mergeCells>
  <printOptions/>
  <pageMargins left="0.75" right="0.75" top="1" bottom="1" header="0.5" footer="0.5"/>
  <pageSetup horizontalDpi="600" verticalDpi="600" orientation="landscape" paperSize="9" scale="36" r:id="rId1"/>
</worksheet>
</file>

<file path=xl/worksheets/sheet6.xml><?xml version="1.0" encoding="utf-8"?>
<worksheet xmlns="http://schemas.openxmlformats.org/spreadsheetml/2006/main" xmlns:r="http://schemas.openxmlformats.org/officeDocument/2006/relationships">
  <dimension ref="A1:V126"/>
  <sheetViews>
    <sheetView view="pageBreakPreview" zoomScale="25" zoomScaleSheetLayoutView="25" workbookViewId="0" topLeftCell="F1">
      <selection activeCell="B114" sqref="B114"/>
    </sheetView>
  </sheetViews>
  <sheetFormatPr defaultColWidth="9.140625" defaultRowHeight="22.5" customHeight="1"/>
  <cols>
    <col min="1" max="1" width="163.8515625" style="196" customWidth="1"/>
    <col min="2" max="2" width="56.28125" style="200" customWidth="1"/>
    <col min="3" max="3" width="60.140625" style="196" customWidth="1"/>
    <col min="4" max="4" width="47.57421875" style="196" customWidth="1"/>
    <col min="5" max="5" width="64.8515625" style="196" customWidth="1"/>
    <col min="6" max="6" width="58.57421875" style="196" customWidth="1"/>
    <col min="7" max="7" width="41.8515625" style="196" customWidth="1"/>
    <col min="8" max="8" width="60.140625" style="196" customWidth="1"/>
    <col min="9" max="9" width="46.57421875" style="284" customWidth="1"/>
    <col min="10" max="10" width="42.28125" style="284" customWidth="1"/>
    <col min="11" max="11" width="46.00390625" style="284" customWidth="1"/>
    <col min="12" max="12" width="43.421875" style="284" customWidth="1"/>
    <col min="13" max="13" width="68.421875" style="194" customWidth="1"/>
    <col min="14" max="14" width="57.7109375" style="194" customWidth="1"/>
    <col min="15" max="15" width="59.7109375" style="194" customWidth="1"/>
    <col min="16" max="16" width="49.00390625" style="194" customWidth="1"/>
    <col min="17" max="17" width="43.57421875" style="194" customWidth="1"/>
    <col min="18" max="18" width="48.00390625" style="194" customWidth="1"/>
    <col min="19" max="19" width="49.00390625" style="195" hidden="1" customWidth="1"/>
    <col min="20" max="20" width="3.8515625" style="196" hidden="1" customWidth="1"/>
    <col min="21" max="21" width="2.140625" style="196" customWidth="1"/>
    <col min="22" max="22" width="25.7109375" style="196" customWidth="1"/>
    <col min="23" max="16384" width="9.140625" style="196" customWidth="1"/>
  </cols>
  <sheetData>
    <row r="1" spans="1:21" ht="44.25" customHeight="1">
      <c r="A1" s="675"/>
      <c r="B1" s="675"/>
      <c r="C1" s="675"/>
      <c r="D1" s="675"/>
      <c r="E1" s="675"/>
      <c r="F1" s="675"/>
      <c r="G1" s="190"/>
      <c r="H1" s="190"/>
      <c r="I1" s="191"/>
      <c r="J1" s="191"/>
      <c r="K1" s="191"/>
      <c r="L1" s="191"/>
      <c r="M1" s="192"/>
      <c r="N1" s="192"/>
      <c r="O1" s="192"/>
      <c r="P1" s="192"/>
      <c r="Q1" s="193" t="s">
        <v>148</v>
      </c>
      <c r="T1" s="190"/>
      <c r="U1" s="190"/>
    </row>
    <row r="2" spans="1:21" ht="29.25" customHeight="1">
      <c r="A2" s="675"/>
      <c r="B2" s="675"/>
      <c r="C2" s="675"/>
      <c r="D2" s="675"/>
      <c r="E2" s="675"/>
      <c r="F2" s="675"/>
      <c r="G2" s="190"/>
      <c r="H2" s="190"/>
      <c r="I2" s="191"/>
      <c r="J2" s="191"/>
      <c r="K2" s="191"/>
      <c r="L2" s="191"/>
      <c r="M2" s="192"/>
      <c r="N2" s="192"/>
      <c r="O2" s="192"/>
      <c r="P2" s="192"/>
      <c r="Q2" s="193" t="s">
        <v>143</v>
      </c>
      <c r="T2" s="190"/>
      <c r="U2" s="190"/>
    </row>
    <row r="3" spans="1:21" ht="40.5" customHeight="1">
      <c r="A3" s="675"/>
      <c r="B3" s="675"/>
      <c r="C3" s="675"/>
      <c r="D3" s="675"/>
      <c r="E3" s="675"/>
      <c r="F3" s="675"/>
      <c r="G3" s="190"/>
      <c r="H3" s="190"/>
      <c r="I3" s="191"/>
      <c r="J3" s="191"/>
      <c r="K3" s="191"/>
      <c r="L3" s="191"/>
      <c r="M3" s="197"/>
      <c r="N3" s="197"/>
      <c r="O3" s="197"/>
      <c r="P3" s="197"/>
      <c r="Q3" s="198" t="s">
        <v>457</v>
      </c>
      <c r="T3" s="193"/>
      <c r="U3" s="190"/>
    </row>
    <row r="4" spans="1:21" ht="39.75" customHeight="1">
      <c r="A4" s="190"/>
      <c r="B4" s="190"/>
      <c r="C4" s="190"/>
      <c r="D4" s="190"/>
      <c r="E4" s="190"/>
      <c r="F4" s="190"/>
      <c r="G4" s="190"/>
      <c r="H4" s="190"/>
      <c r="I4" s="191"/>
      <c r="J4" s="191"/>
      <c r="K4" s="191"/>
      <c r="L4" s="191"/>
      <c r="M4" s="197"/>
      <c r="N4" s="197"/>
      <c r="O4" s="197"/>
      <c r="P4" s="197"/>
      <c r="Q4" s="198" t="s">
        <v>578</v>
      </c>
      <c r="T4" s="199"/>
      <c r="U4" s="190"/>
    </row>
    <row r="5" spans="1:21" ht="37.5" customHeight="1">
      <c r="A5" s="190"/>
      <c r="B5" s="190"/>
      <c r="C5" s="190"/>
      <c r="D5" s="190"/>
      <c r="E5" s="190"/>
      <c r="F5" s="190"/>
      <c r="G5" s="190"/>
      <c r="H5" s="190"/>
      <c r="I5" s="191"/>
      <c r="J5" s="191"/>
      <c r="K5" s="191"/>
      <c r="L5" s="191"/>
      <c r="M5" s="197"/>
      <c r="N5" s="197"/>
      <c r="O5" s="197"/>
      <c r="P5" s="197"/>
      <c r="Q5" s="707" t="s">
        <v>114</v>
      </c>
      <c r="R5" s="99"/>
      <c r="T5" s="193"/>
      <c r="U5" s="190"/>
    </row>
    <row r="6" spans="1:21" ht="34.5" customHeight="1">
      <c r="A6" s="190"/>
      <c r="B6" s="190"/>
      <c r="C6" s="201" t="s">
        <v>149</v>
      </c>
      <c r="D6" s="190"/>
      <c r="E6" s="190"/>
      <c r="F6" s="190"/>
      <c r="G6" s="190"/>
      <c r="H6" s="190"/>
      <c r="I6" s="191"/>
      <c r="J6" s="191"/>
      <c r="K6" s="191"/>
      <c r="L6" s="191"/>
      <c r="M6" s="197"/>
      <c r="N6" s="197"/>
      <c r="O6" s="197"/>
      <c r="P6" s="197"/>
      <c r="Q6" s="197"/>
      <c r="R6" s="197"/>
      <c r="S6" s="202"/>
      <c r="T6" s="190"/>
      <c r="U6" s="190"/>
    </row>
    <row r="7" spans="1:21" ht="44.25" customHeight="1" thickBot="1">
      <c r="A7" s="203"/>
      <c r="B7" s="204"/>
      <c r="C7" s="203"/>
      <c r="D7" s="203"/>
      <c r="E7" s="203"/>
      <c r="F7" s="203"/>
      <c r="G7" s="203"/>
      <c r="H7" s="203"/>
      <c r="I7" s="205"/>
      <c r="J7" s="205"/>
      <c r="K7" s="205"/>
      <c r="L7" s="205"/>
      <c r="M7" s="206"/>
      <c r="N7" s="206"/>
      <c r="O7" s="206"/>
      <c r="P7" s="206"/>
      <c r="Q7" s="206"/>
      <c r="R7" s="206"/>
      <c r="S7" s="203" t="s">
        <v>523</v>
      </c>
      <c r="T7" s="203"/>
      <c r="U7" s="203"/>
    </row>
    <row r="8" spans="1:19" ht="74.25" customHeight="1">
      <c r="A8" s="676" t="s">
        <v>150</v>
      </c>
      <c r="B8" s="679" t="s">
        <v>151</v>
      </c>
      <c r="C8" s="661" t="s">
        <v>152</v>
      </c>
      <c r="D8" s="662"/>
      <c r="E8" s="662"/>
      <c r="F8" s="662"/>
      <c r="G8" s="662"/>
      <c r="H8" s="662"/>
      <c r="I8" s="662"/>
      <c r="J8" s="662"/>
      <c r="K8" s="662"/>
      <c r="L8" s="207"/>
      <c r="M8" s="658" t="s">
        <v>153</v>
      </c>
      <c r="N8" s="661" t="s">
        <v>154</v>
      </c>
      <c r="O8" s="662"/>
      <c r="P8" s="662"/>
      <c r="Q8" s="662"/>
      <c r="R8" s="663"/>
      <c r="S8" s="665" t="s">
        <v>495</v>
      </c>
    </row>
    <row r="9" spans="1:19" ht="409.5" customHeight="1">
      <c r="A9" s="677"/>
      <c r="B9" s="677"/>
      <c r="C9" s="668" t="s">
        <v>614</v>
      </c>
      <c r="D9" s="668" t="s">
        <v>615</v>
      </c>
      <c r="E9" s="668" t="s">
        <v>353</v>
      </c>
      <c r="F9" s="668" t="s">
        <v>354</v>
      </c>
      <c r="G9" s="668" t="s">
        <v>355</v>
      </c>
      <c r="H9" s="668" t="s">
        <v>356</v>
      </c>
      <c r="I9" s="670" t="s">
        <v>357</v>
      </c>
      <c r="J9" s="670" t="s">
        <v>177</v>
      </c>
      <c r="K9" s="673" t="s">
        <v>178</v>
      </c>
      <c r="L9" s="672" t="s">
        <v>702</v>
      </c>
      <c r="M9" s="659"/>
      <c r="N9" s="673" t="s">
        <v>357</v>
      </c>
      <c r="O9" s="657" t="s">
        <v>703</v>
      </c>
      <c r="P9" s="657" t="s">
        <v>212</v>
      </c>
      <c r="Q9" s="657" t="s">
        <v>704</v>
      </c>
      <c r="R9" s="664" t="s">
        <v>705</v>
      </c>
      <c r="S9" s="666"/>
    </row>
    <row r="10" spans="1:19" ht="409.5" customHeight="1">
      <c r="A10" s="677"/>
      <c r="B10" s="677"/>
      <c r="C10" s="668"/>
      <c r="D10" s="668"/>
      <c r="E10" s="668"/>
      <c r="F10" s="668"/>
      <c r="G10" s="668"/>
      <c r="H10" s="668"/>
      <c r="I10" s="670"/>
      <c r="J10" s="670"/>
      <c r="K10" s="673"/>
      <c r="L10" s="672"/>
      <c r="M10" s="659"/>
      <c r="N10" s="673"/>
      <c r="O10" s="657"/>
      <c r="P10" s="657"/>
      <c r="Q10" s="657"/>
      <c r="R10" s="664"/>
      <c r="S10" s="666"/>
    </row>
    <row r="11" spans="1:19" ht="401.25" customHeight="1" thickBot="1">
      <c r="A11" s="678"/>
      <c r="B11" s="678"/>
      <c r="C11" s="669"/>
      <c r="D11" s="669"/>
      <c r="E11" s="669"/>
      <c r="F11" s="669"/>
      <c r="G11" s="669"/>
      <c r="H11" s="669"/>
      <c r="I11" s="671"/>
      <c r="J11" s="671"/>
      <c r="K11" s="674"/>
      <c r="L11" s="672"/>
      <c r="M11" s="660"/>
      <c r="N11" s="674"/>
      <c r="O11" s="657"/>
      <c r="P11" s="208"/>
      <c r="Q11" s="208"/>
      <c r="R11" s="210"/>
      <c r="S11" s="667"/>
    </row>
    <row r="12" spans="1:19" ht="67.5" customHeight="1" thickBot="1">
      <c r="A12" s="211">
        <v>1</v>
      </c>
      <c r="B12" s="211">
        <v>2</v>
      </c>
      <c r="C12" s="212">
        <v>3</v>
      </c>
      <c r="D12" s="212">
        <v>4</v>
      </c>
      <c r="E12" s="212">
        <v>5</v>
      </c>
      <c r="F12" s="212">
        <v>6</v>
      </c>
      <c r="G12" s="212">
        <v>7</v>
      </c>
      <c r="H12" s="212">
        <v>8</v>
      </c>
      <c r="I12" s="213">
        <v>9</v>
      </c>
      <c r="J12" s="213">
        <v>10</v>
      </c>
      <c r="K12" s="213">
        <v>11</v>
      </c>
      <c r="L12" s="209">
        <v>12</v>
      </c>
      <c r="M12" s="214">
        <v>13</v>
      </c>
      <c r="N12" s="214">
        <v>14</v>
      </c>
      <c r="O12" s="215">
        <v>15</v>
      </c>
      <c r="P12" s="376"/>
      <c r="Q12" s="377">
        <v>16</v>
      </c>
      <c r="R12" s="216">
        <v>17</v>
      </c>
      <c r="S12" s="217">
        <v>18</v>
      </c>
    </row>
    <row r="13" spans="1:19" ht="116.25" customHeight="1">
      <c r="A13" s="218" t="s">
        <v>706</v>
      </c>
      <c r="B13" s="219" t="s">
        <v>707</v>
      </c>
      <c r="C13" s="220"/>
      <c r="D13" s="221"/>
      <c r="E13" s="220"/>
      <c r="F13" s="220"/>
      <c r="G13" s="222">
        <v>1760160</v>
      </c>
      <c r="H13" s="220"/>
      <c r="I13" s="223"/>
      <c r="J13" s="223"/>
      <c r="K13" s="223"/>
      <c r="L13" s="223"/>
      <c r="M13" s="224">
        <f>SUM(C13:G13)</f>
        <v>1760160</v>
      </c>
      <c r="N13" s="224"/>
      <c r="O13" s="225"/>
      <c r="P13" s="225"/>
      <c r="Q13" s="226"/>
      <c r="R13" s="226"/>
      <c r="S13" s="227">
        <f>M13</f>
        <v>1760160</v>
      </c>
    </row>
    <row r="14" spans="1:19" ht="46.5" customHeight="1">
      <c r="A14" s="228" t="s">
        <v>309</v>
      </c>
      <c r="B14" s="229" t="s">
        <v>708</v>
      </c>
      <c r="C14" s="230">
        <v>721780</v>
      </c>
      <c r="D14" s="231"/>
      <c r="E14" s="231"/>
      <c r="F14" s="231"/>
      <c r="G14" s="231"/>
      <c r="H14" s="231"/>
      <c r="I14" s="232"/>
      <c r="J14" s="232"/>
      <c r="K14" s="232"/>
      <c r="L14" s="232"/>
      <c r="M14" s="226">
        <f>SUM(C14:F14)</f>
        <v>721780</v>
      </c>
      <c r="N14" s="226"/>
      <c r="O14" s="233"/>
      <c r="P14" s="233"/>
      <c r="Q14" s="226"/>
      <c r="R14" s="226"/>
      <c r="S14" s="234">
        <f aca="true" t="shared" si="0" ref="S14:S22">M14</f>
        <v>721780</v>
      </c>
    </row>
    <row r="15" spans="1:19" ht="45" customHeight="1">
      <c r="A15" s="228" t="s">
        <v>310</v>
      </c>
      <c r="B15" s="229" t="s">
        <v>709</v>
      </c>
      <c r="C15" s="230">
        <v>16687111</v>
      </c>
      <c r="D15" s="231"/>
      <c r="E15" s="231"/>
      <c r="F15" s="231"/>
      <c r="G15" s="231"/>
      <c r="H15" s="231"/>
      <c r="I15" s="232"/>
      <c r="J15" s="232"/>
      <c r="K15" s="232"/>
      <c r="L15" s="232"/>
      <c r="M15" s="226">
        <f aca="true" t="shared" si="1" ref="M15:M33">SUM(C15:F15)</f>
        <v>16687111</v>
      </c>
      <c r="N15" s="226"/>
      <c r="O15" s="233"/>
      <c r="P15" s="233"/>
      <c r="Q15" s="226"/>
      <c r="R15" s="226"/>
      <c r="S15" s="234">
        <f t="shared" si="0"/>
        <v>16687111</v>
      </c>
    </row>
    <row r="16" spans="1:19" ht="46.5" customHeight="1">
      <c r="A16" s="228" t="s">
        <v>710</v>
      </c>
      <c r="B16" s="229" t="s">
        <v>711</v>
      </c>
      <c r="C16" s="230">
        <v>38362520</v>
      </c>
      <c r="D16" s="231"/>
      <c r="E16" s="231"/>
      <c r="F16" s="231"/>
      <c r="G16" s="231"/>
      <c r="H16" s="231"/>
      <c r="I16" s="232"/>
      <c r="J16" s="232"/>
      <c r="K16" s="232"/>
      <c r="L16" s="232"/>
      <c r="M16" s="226">
        <f t="shared" si="1"/>
        <v>38362520</v>
      </c>
      <c r="N16" s="226"/>
      <c r="O16" s="233"/>
      <c r="P16" s="233"/>
      <c r="Q16" s="226"/>
      <c r="R16" s="226"/>
      <c r="S16" s="234">
        <f t="shared" si="0"/>
        <v>38362520</v>
      </c>
    </row>
    <row r="17" spans="1:19" ht="72" customHeight="1">
      <c r="A17" s="228" t="s">
        <v>712</v>
      </c>
      <c r="B17" s="229" t="s">
        <v>713</v>
      </c>
      <c r="C17" s="230">
        <v>3295683</v>
      </c>
      <c r="D17" s="231"/>
      <c r="E17" s="231"/>
      <c r="F17" s="231"/>
      <c r="G17" s="231"/>
      <c r="H17" s="231"/>
      <c r="I17" s="232"/>
      <c r="J17" s="232"/>
      <c r="K17" s="232"/>
      <c r="L17" s="232"/>
      <c r="M17" s="226">
        <f t="shared" si="1"/>
        <v>3295683</v>
      </c>
      <c r="N17" s="226"/>
      <c r="O17" s="233"/>
      <c r="P17" s="233"/>
      <c r="Q17" s="226"/>
      <c r="R17" s="226"/>
      <c r="S17" s="234">
        <f t="shared" si="0"/>
        <v>3295683</v>
      </c>
    </row>
    <row r="18" spans="1:19" ht="40.5" customHeight="1">
      <c r="A18" s="228" t="s">
        <v>714</v>
      </c>
      <c r="B18" s="229" t="s">
        <v>715</v>
      </c>
      <c r="C18" s="230">
        <v>10118792</v>
      </c>
      <c r="D18" s="231"/>
      <c r="E18" s="231"/>
      <c r="F18" s="231"/>
      <c r="G18" s="231"/>
      <c r="H18" s="231"/>
      <c r="I18" s="232"/>
      <c r="J18" s="232"/>
      <c r="K18" s="232"/>
      <c r="L18" s="232"/>
      <c r="M18" s="226">
        <f t="shared" si="1"/>
        <v>10118792</v>
      </c>
      <c r="N18" s="226"/>
      <c r="O18" s="233"/>
      <c r="P18" s="233"/>
      <c r="Q18" s="226"/>
      <c r="R18" s="226"/>
      <c r="S18" s="234">
        <f t="shared" si="0"/>
        <v>10118792</v>
      </c>
    </row>
    <row r="19" spans="1:19" ht="37.5" customHeight="1">
      <c r="A19" s="235" t="s">
        <v>716</v>
      </c>
      <c r="B19" s="229" t="s">
        <v>717</v>
      </c>
      <c r="C19" s="230">
        <v>602965</v>
      </c>
      <c r="D19" s="231"/>
      <c r="E19" s="231"/>
      <c r="F19" s="231"/>
      <c r="G19" s="231"/>
      <c r="H19" s="231"/>
      <c r="I19" s="232"/>
      <c r="J19" s="232"/>
      <c r="K19" s="232"/>
      <c r="L19" s="232"/>
      <c r="M19" s="226">
        <f t="shared" si="1"/>
        <v>602965</v>
      </c>
      <c r="N19" s="226"/>
      <c r="O19" s="233"/>
      <c r="P19" s="233"/>
      <c r="Q19" s="226"/>
      <c r="R19" s="226"/>
      <c r="S19" s="234">
        <f t="shared" si="0"/>
        <v>602965</v>
      </c>
    </row>
    <row r="20" spans="1:19" ht="45" customHeight="1">
      <c r="A20" s="235" t="s">
        <v>718</v>
      </c>
      <c r="B20" s="229" t="s">
        <v>719</v>
      </c>
      <c r="C20" s="230">
        <v>200119</v>
      </c>
      <c r="D20" s="231"/>
      <c r="E20" s="231"/>
      <c r="F20" s="231"/>
      <c r="G20" s="231"/>
      <c r="H20" s="231"/>
      <c r="I20" s="232"/>
      <c r="J20" s="232"/>
      <c r="K20" s="232"/>
      <c r="L20" s="232"/>
      <c r="M20" s="226">
        <f t="shared" si="1"/>
        <v>200119</v>
      </c>
      <c r="N20" s="226"/>
      <c r="O20" s="233"/>
      <c r="P20" s="233"/>
      <c r="Q20" s="226"/>
      <c r="R20" s="226"/>
      <c r="S20" s="234">
        <f t="shared" si="0"/>
        <v>200119</v>
      </c>
    </row>
    <row r="21" spans="1:19" ht="68.25" customHeight="1">
      <c r="A21" s="228" t="s">
        <v>311</v>
      </c>
      <c r="B21" s="229" t="s">
        <v>720</v>
      </c>
      <c r="C21" s="230">
        <v>9210516</v>
      </c>
      <c r="D21" s="231"/>
      <c r="E21" s="231"/>
      <c r="F21" s="231"/>
      <c r="G21" s="231"/>
      <c r="H21" s="231"/>
      <c r="I21" s="232"/>
      <c r="J21" s="232"/>
      <c r="K21" s="232"/>
      <c r="L21" s="232"/>
      <c r="M21" s="226">
        <f t="shared" si="1"/>
        <v>9210516</v>
      </c>
      <c r="N21" s="226"/>
      <c r="O21" s="233"/>
      <c r="P21" s="233"/>
      <c r="Q21" s="226"/>
      <c r="R21" s="226"/>
      <c r="S21" s="234">
        <f t="shared" si="0"/>
        <v>9210516</v>
      </c>
    </row>
    <row r="22" spans="1:19" ht="83.25" customHeight="1">
      <c r="A22" s="228" t="s">
        <v>721</v>
      </c>
      <c r="B22" s="229" t="s">
        <v>722</v>
      </c>
      <c r="C22" s="230">
        <v>13299354</v>
      </c>
      <c r="D22" s="231"/>
      <c r="E22" s="231"/>
      <c r="F22" s="231"/>
      <c r="G22" s="231"/>
      <c r="H22" s="231"/>
      <c r="I22" s="232"/>
      <c r="J22" s="232"/>
      <c r="K22" s="232"/>
      <c r="L22" s="232"/>
      <c r="M22" s="226">
        <f t="shared" si="1"/>
        <v>13299354</v>
      </c>
      <c r="N22" s="226"/>
      <c r="O22" s="233"/>
      <c r="P22" s="233"/>
      <c r="Q22" s="226"/>
      <c r="R22" s="226"/>
      <c r="S22" s="234">
        <f t="shared" si="0"/>
        <v>13299354</v>
      </c>
    </row>
    <row r="23" spans="1:19" ht="409.5" customHeight="1">
      <c r="A23" s="236" t="s">
        <v>301</v>
      </c>
      <c r="B23" s="237" t="s">
        <v>312</v>
      </c>
      <c r="C23" s="238"/>
      <c r="D23" s="238">
        <v>6237434</v>
      </c>
      <c r="E23" s="239"/>
      <c r="F23" s="239"/>
      <c r="G23" s="239"/>
      <c r="H23" s="239"/>
      <c r="I23" s="240"/>
      <c r="J23" s="240"/>
      <c r="K23" s="240"/>
      <c r="L23" s="240"/>
      <c r="M23" s="226">
        <f t="shared" si="1"/>
        <v>6237434</v>
      </c>
      <c r="N23" s="226"/>
      <c r="O23" s="233"/>
      <c r="P23" s="233"/>
      <c r="Q23" s="226"/>
      <c r="R23" s="226"/>
      <c r="S23" s="234">
        <f>M23</f>
        <v>6237434</v>
      </c>
    </row>
    <row r="24" spans="1:19" ht="352.5" customHeight="1">
      <c r="A24" s="236" t="s">
        <v>302</v>
      </c>
      <c r="B24" s="641" t="s">
        <v>308</v>
      </c>
      <c r="C24" s="637"/>
      <c r="D24" s="635">
        <v>1516352</v>
      </c>
      <c r="E24" s="637"/>
      <c r="F24" s="637"/>
      <c r="G24" s="637"/>
      <c r="H24" s="637"/>
      <c r="I24" s="638"/>
      <c r="J24" s="241"/>
      <c r="K24" s="241"/>
      <c r="L24" s="241"/>
      <c r="M24" s="654">
        <f t="shared" si="1"/>
        <v>1516352</v>
      </c>
      <c r="N24" s="243"/>
      <c r="O24" s="244"/>
      <c r="P24" s="244"/>
      <c r="Q24" s="242"/>
      <c r="R24" s="242"/>
      <c r="S24" s="655">
        <f>M24</f>
        <v>1516352</v>
      </c>
    </row>
    <row r="25" spans="1:19" ht="409.5" customHeight="1">
      <c r="A25" s="236" t="s">
        <v>561</v>
      </c>
      <c r="B25" s="641"/>
      <c r="C25" s="637"/>
      <c r="D25" s="635"/>
      <c r="E25" s="637"/>
      <c r="F25" s="637"/>
      <c r="G25" s="637"/>
      <c r="H25" s="637"/>
      <c r="I25" s="639"/>
      <c r="J25" s="245"/>
      <c r="K25" s="245"/>
      <c r="L25" s="245"/>
      <c r="M25" s="654"/>
      <c r="N25" s="246"/>
      <c r="O25" s="247"/>
      <c r="P25" s="247"/>
      <c r="Q25" s="242"/>
      <c r="R25" s="242"/>
      <c r="S25" s="656"/>
    </row>
    <row r="26" spans="1:19" ht="409.5" customHeight="1">
      <c r="A26" s="248" t="s">
        <v>611</v>
      </c>
      <c r="B26" s="641"/>
      <c r="C26" s="637"/>
      <c r="D26" s="635"/>
      <c r="E26" s="637"/>
      <c r="F26" s="637"/>
      <c r="G26" s="637"/>
      <c r="H26" s="637"/>
      <c r="I26" s="640"/>
      <c r="J26" s="249"/>
      <c r="K26" s="249"/>
      <c r="L26" s="249"/>
      <c r="M26" s="654"/>
      <c r="N26" s="250"/>
      <c r="O26" s="250"/>
      <c r="P26" s="250"/>
      <c r="Q26" s="250"/>
      <c r="R26" s="250"/>
      <c r="S26" s="649"/>
    </row>
    <row r="27" spans="1:19" ht="156" customHeight="1">
      <c r="A27" s="235" t="s">
        <v>612</v>
      </c>
      <c r="B27" s="237" t="s">
        <v>790</v>
      </c>
      <c r="C27" s="239"/>
      <c r="D27" s="238">
        <v>186656</v>
      </c>
      <c r="E27" s="239"/>
      <c r="F27" s="239"/>
      <c r="G27" s="239"/>
      <c r="H27" s="239"/>
      <c r="I27" s="240"/>
      <c r="J27" s="240"/>
      <c r="K27" s="240"/>
      <c r="L27" s="240"/>
      <c r="M27" s="226">
        <f t="shared" si="1"/>
        <v>186656</v>
      </c>
      <c r="N27" s="226"/>
      <c r="O27" s="226"/>
      <c r="P27" s="226"/>
      <c r="Q27" s="226"/>
      <c r="R27" s="226"/>
      <c r="S27" s="251">
        <f>M27</f>
        <v>186656</v>
      </c>
    </row>
    <row r="28" spans="1:19" ht="379.5" customHeight="1">
      <c r="A28" s="235" t="s">
        <v>613</v>
      </c>
      <c r="B28" s="237" t="s">
        <v>768</v>
      </c>
      <c r="C28" s="239"/>
      <c r="D28" s="238">
        <v>28652</v>
      </c>
      <c r="E28" s="239"/>
      <c r="F28" s="239"/>
      <c r="G28" s="239"/>
      <c r="H28" s="239"/>
      <c r="I28" s="240"/>
      <c r="J28" s="240"/>
      <c r="K28" s="240"/>
      <c r="L28" s="240"/>
      <c r="M28" s="226">
        <f t="shared" si="1"/>
        <v>28652</v>
      </c>
      <c r="N28" s="226"/>
      <c r="O28" s="226"/>
      <c r="P28" s="226"/>
      <c r="Q28" s="226"/>
      <c r="R28" s="226"/>
      <c r="S28" s="251">
        <f>M28</f>
        <v>28652</v>
      </c>
    </row>
    <row r="29" spans="1:19" ht="78.75" customHeight="1">
      <c r="A29" s="235" t="s">
        <v>769</v>
      </c>
      <c r="B29" s="237" t="s">
        <v>770</v>
      </c>
      <c r="C29" s="239"/>
      <c r="D29" s="238">
        <v>501296</v>
      </c>
      <c r="E29" s="239"/>
      <c r="F29" s="239"/>
      <c r="G29" s="239"/>
      <c r="H29" s="239"/>
      <c r="I29" s="240"/>
      <c r="J29" s="240"/>
      <c r="K29" s="240"/>
      <c r="L29" s="240"/>
      <c r="M29" s="226">
        <f t="shared" si="1"/>
        <v>501296</v>
      </c>
      <c r="N29" s="226"/>
      <c r="O29" s="226"/>
      <c r="P29" s="226"/>
      <c r="Q29" s="226"/>
      <c r="R29" s="226"/>
      <c r="S29" s="251">
        <f>M29</f>
        <v>501296</v>
      </c>
    </row>
    <row r="30" spans="1:19" ht="104.25" customHeight="1">
      <c r="A30" s="252" t="s">
        <v>645</v>
      </c>
      <c r="B30" s="237" t="s">
        <v>771</v>
      </c>
      <c r="C30" s="239"/>
      <c r="D30" s="238">
        <v>871530</v>
      </c>
      <c r="E30" s="239"/>
      <c r="F30" s="239"/>
      <c r="G30" s="239"/>
      <c r="H30" s="239"/>
      <c r="I30" s="240"/>
      <c r="J30" s="240"/>
      <c r="K30" s="240"/>
      <c r="L30" s="240"/>
      <c r="M30" s="226">
        <f t="shared" si="1"/>
        <v>871530</v>
      </c>
      <c r="N30" s="226"/>
      <c r="O30" s="226"/>
      <c r="P30" s="226"/>
      <c r="Q30" s="226"/>
      <c r="R30" s="226"/>
      <c r="S30" s="251">
        <f>M30</f>
        <v>871530</v>
      </c>
    </row>
    <row r="31" spans="1:19" ht="4.5" customHeight="1">
      <c r="A31" s="642" t="s">
        <v>545</v>
      </c>
      <c r="B31" s="641" t="s">
        <v>772</v>
      </c>
      <c r="C31" s="637"/>
      <c r="D31" s="637"/>
      <c r="E31" s="635">
        <v>38228</v>
      </c>
      <c r="F31" s="637"/>
      <c r="G31" s="637"/>
      <c r="H31" s="637"/>
      <c r="I31" s="643"/>
      <c r="J31" s="241"/>
      <c r="K31" s="241"/>
      <c r="L31" s="241"/>
      <c r="M31" s="650">
        <f t="shared" si="1"/>
        <v>38228</v>
      </c>
      <c r="N31" s="243"/>
      <c r="O31" s="243"/>
      <c r="P31" s="243"/>
      <c r="Q31" s="243"/>
      <c r="R31" s="243"/>
      <c r="S31" s="652">
        <f>M31</f>
        <v>38228</v>
      </c>
    </row>
    <row r="32" spans="1:19" ht="409.5" customHeight="1">
      <c r="A32" s="642"/>
      <c r="B32" s="641"/>
      <c r="C32" s="637"/>
      <c r="D32" s="637"/>
      <c r="E32" s="635"/>
      <c r="F32" s="637"/>
      <c r="G32" s="637"/>
      <c r="H32" s="637"/>
      <c r="I32" s="643"/>
      <c r="J32" s="249"/>
      <c r="K32" s="249"/>
      <c r="L32" s="249"/>
      <c r="M32" s="651"/>
      <c r="N32" s="250"/>
      <c r="O32" s="250"/>
      <c r="P32" s="250"/>
      <c r="Q32" s="250"/>
      <c r="R32" s="250"/>
      <c r="S32" s="653"/>
    </row>
    <row r="33" spans="1:19" ht="142.5" customHeight="1">
      <c r="A33" s="248" t="s">
        <v>546</v>
      </c>
      <c r="B33" s="237" t="s">
        <v>773</v>
      </c>
      <c r="C33" s="239"/>
      <c r="D33" s="239"/>
      <c r="E33" s="238">
        <v>7125</v>
      </c>
      <c r="F33" s="239"/>
      <c r="G33" s="239"/>
      <c r="H33" s="239"/>
      <c r="I33" s="240"/>
      <c r="J33" s="240"/>
      <c r="K33" s="240"/>
      <c r="L33" s="240"/>
      <c r="M33" s="226">
        <f t="shared" si="1"/>
        <v>7125</v>
      </c>
      <c r="N33" s="226"/>
      <c r="O33" s="226"/>
      <c r="P33" s="226"/>
      <c r="Q33" s="226"/>
      <c r="R33" s="226"/>
      <c r="S33" s="251">
        <f aca="true" t="shared" si="2" ref="S33:S39">M33</f>
        <v>7125</v>
      </c>
    </row>
    <row r="34" spans="1:19" ht="64.5" customHeight="1">
      <c r="A34" s="248" t="s">
        <v>774</v>
      </c>
      <c r="B34" s="237" t="s">
        <v>775</v>
      </c>
      <c r="C34" s="239"/>
      <c r="D34" s="239"/>
      <c r="E34" s="238">
        <v>433827</v>
      </c>
      <c r="F34" s="239"/>
      <c r="G34" s="239"/>
      <c r="H34" s="239"/>
      <c r="I34" s="240"/>
      <c r="J34" s="240"/>
      <c r="K34" s="240"/>
      <c r="L34" s="240"/>
      <c r="M34" s="226">
        <f>SUM(C34:I34)</f>
        <v>433827</v>
      </c>
      <c r="N34" s="226"/>
      <c r="O34" s="226"/>
      <c r="P34" s="226"/>
      <c r="Q34" s="226"/>
      <c r="R34" s="226"/>
      <c r="S34" s="251">
        <f t="shared" si="2"/>
        <v>433827</v>
      </c>
    </row>
    <row r="35" spans="1:19" ht="102" customHeight="1">
      <c r="A35" s="235" t="s">
        <v>264</v>
      </c>
      <c r="B35" s="253">
        <v>170102</v>
      </c>
      <c r="C35" s="239"/>
      <c r="D35" s="239"/>
      <c r="E35" s="238">
        <v>52060</v>
      </c>
      <c r="F35" s="239"/>
      <c r="G35" s="239"/>
      <c r="H35" s="239"/>
      <c r="I35" s="240"/>
      <c r="J35" s="240"/>
      <c r="K35" s="240"/>
      <c r="L35" s="240"/>
      <c r="M35" s="226">
        <f>SUM(C35:I35)</f>
        <v>52060</v>
      </c>
      <c r="N35" s="226"/>
      <c r="O35" s="226"/>
      <c r="P35" s="226"/>
      <c r="Q35" s="226"/>
      <c r="R35" s="226"/>
      <c r="S35" s="251">
        <f t="shared" si="2"/>
        <v>52060</v>
      </c>
    </row>
    <row r="36" spans="1:19" ht="81.75" customHeight="1">
      <c r="A36" s="235" t="s">
        <v>265</v>
      </c>
      <c r="B36" s="253">
        <v>170302</v>
      </c>
      <c r="C36" s="239"/>
      <c r="D36" s="239"/>
      <c r="E36" s="238">
        <v>0</v>
      </c>
      <c r="F36" s="239"/>
      <c r="G36" s="239"/>
      <c r="H36" s="239"/>
      <c r="I36" s="240"/>
      <c r="J36" s="240"/>
      <c r="K36" s="240"/>
      <c r="L36" s="240"/>
      <c r="M36" s="226">
        <f>SUM(C36:I36)</f>
        <v>0</v>
      </c>
      <c r="N36" s="226"/>
      <c r="O36" s="226"/>
      <c r="P36" s="226"/>
      <c r="Q36" s="226"/>
      <c r="R36" s="226"/>
      <c r="S36" s="251">
        <f t="shared" si="2"/>
        <v>0</v>
      </c>
    </row>
    <row r="37" spans="1:19" ht="84" customHeight="1">
      <c r="A37" s="235" t="s">
        <v>266</v>
      </c>
      <c r="B37" s="253">
        <v>170602</v>
      </c>
      <c r="C37" s="239"/>
      <c r="D37" s="239"/>
      <c r="E37" s="238">
        <v>2757280</v>
      </c>
      <c r="F37" s="239"/>
      <c r="G37" s="239"/>
      <c r="H37" s="239"/>
      <c r="I37" s="240"/>
      <c r="J37" s="240"/>
      <c r="K37" s="240"/>
      <c r="L37" s="240"/>
      <c r="M37" s="226">
        <f>SUM(C37:I37)</f>
        <v>2757280</v>
      </c>
      <c r="N37" s="226"/>
      <c r="O37" s="226"/>
      <c r="P37" s="226"/>
      <c r="Q37" s="226"/>
      <c r="R37" s="226"/>
      <c r="S37" s="251">
        <f t="shared" si="2"/>
        <v>2757280</v>
      </c>
    </row>
    <row r="38" spans="1:19" ht="409.5" customHeight="1">
      <c r="A38" s="248" t="s">
        <v>267</v>
      </c>
      <c r="B38" s="237" t="s">
        <v>570</v>
      </c>
      <c r="C38" s="254"/>
      <c r="D38" s="254"/>
      <c r="E38" s="255"/>
      <c r="F38" s="256">
        <v>0</v>
      </c>
      <c r="G38" s="239"/>
      <c r="H38" s="239"/>
      <c r="I38" s="240"/>
      <c r="J38" s="240"/>
      <c r="K38" s="240"/>
      <c r="L38" s="240"/>
      <c r="M38" s="257">
        <f>SUM(C38:I38)</f>
        <v>0</v>
      </c>
      <c r="N38" s="257"/>
      <c r="O38" s="257"/>
      <c r="P38" s="257"/>
      <c r="Q38" s="257"/>
      <c r="R38" s="226"/>
      <c r="S38" s="251">
        <f t="shared" si="2"/>
        <v>0</v>
      </c>
    </row>
    <row r="39" spans="1:19" ht="349.5" customHeight="1">
      <c r="A39" s="248" t="s">
        <v>779</v>
      </c>
      <c r="B39" s="641" t="s">
        <v>897</v>
      </c>
      <c r="C39" s="637"/>
      <c r="D39" s="637"/>
      <c r="E39" s="637"/>
      <c r="F39" s="636">
        <v>0</v>
      </c>
      <c r="G39" s="637"/>
      <c r="H39" s="637"/>
      <c r="I39" s="638"/>
      <c r="J39" s="241"/>
      <c r="K39" s="241"/>
      <c r="L39" s="241"/>
      <c r="M39" s="644">
        <f>F39</f>
        <v>0</v>
      </c>
      <c r="N39" s="258"/>
      <c r="O39" s="258"/>
      <c r="P39" s="258"/>
      <c r="Q39" s="258"/>
      <c r="R39" s="243"/>
      <c r="S39" s="647">
        <f t="shared" si="2"/>
        <v>0</v>
      </c>
    </row>
    <row r="40" spans="1:19" ht="375.75" customHeight="1">
      <c r="A40" s="248" t="s">
        <v>780</v>
      </c>
      <c r="B40" s="641"/>
      <c r="C40" s="637"/>
      <c r="D40" s="637"/>
      <c r="E40" s="637"/>
      <c r="F40" s="636"/>
      <c r="G40" s="637"/>
      <c r="H40" s="637"/>
      <c r="I40" s="639"/>
      <c r="J40" s="245"/>
      <c r="K40" s="245"/>
      <c r="L40" s="245"/>
      <c r="M40" s="645"/>
      <c r="N40" s="259"/>
      <c r="O40" s="259"/>
      <c r="P40" s="259"/>
      <c r="Q40" s="259"/>
      <c r="R40" s="246"/>
      <c r="S40" s="648"/>
    </row>
    <row r="41" spans="1:19" ht="204.75" customHeight="1">
      <c r="A41" s="248" t="s">
        <v>596</v>
      </c>
      <c r="B41" s="641"/>
      <c r="C41" s="637"/>
      <c r="D41" s="637"/>
      <c r="E41" s="637"/>
      <c r="F41" s="636"/>
      <c r="G41" s="637"/>
      <c r="H41" s="637"/>
      <c r="I41" s="640"/>
      <c r="J41" s="249"/>
      <c r="K41" s="249"/>
      <c r="L41" s="249"/>
      <c r="M41" s="646"/>
      <c r="N41" s="260"/>
      <c r="O41" s="260"/>
      <c r="P41" s="260"/>
      <c r="Q41" s="260"/>
      <c r="R41" s="250"/>
      <c r="S41" s="649"/>
    </row>
    <row r="42" spans="1:19" ht="186.75" customHeight="1">
      <c r="A42" s="252" t="s">
        <v>898</v>
      </c>
      <c r="B42" s="237" t="s">
        <v>899</v>
      </c>
      <c r="C42" s="239"/>
      <c r="D42" s="239"/>
      <c r="E42" s="239"/>
      <c r="F42" s="256">
        <v>0</v>
      </c>
      <c r="G42" s="239"/>
      <c r="H42" s="239"/>
      <c r="I42" s="240"/>
      <c r="J42" s="240"/>
      <c r="K42" s="240"/>
      <c r="L42" s="240"/>
      <c r="M42" s="257">
        <f>SUM(C42:I42)</f>
        <v>0</v>
      </c>
      <c r="N42" s="257"/>
      <c r="O42" s="257"/>
      <c r="P42" s="257"/>
      <c r="Q42" s="257"/>
      <c r="R42" s="226"/>
      <c r="S42" s="251">
        <f>M42</f>
        <v>0</v>
      </c>
    </row>
    <row r="43" spans="1:19" ht="68.25" customHeight="1">
      <c r="A43" s="252" t="s">
        <v>597</v>
      </c>
      <c r="B43" s="237" t="s">
        <v>74</v>
      </c>
      <c r="C43" s="239"/>
      <c r="D43" s="239"/>
      <c r="E43" s="239"/>
      <c r="F43" s="256">
        <v>0</v>
      </c>
      <c r="G43" s="239"/>
      <c r="H43" s="239"/>
      <c r="I43" s="240"/>
      <c r="J43" s="240"/>
      <c r="K43" s="240"/>
      <c r="L43" s="240"/>
      <c r="M43" s="257">
        <f>SUM(C43:I43)</f>
        <v>0</v>
      </c>
      <c r="N43" s="257"/>
      <c r="O43" s="257"/>
      <c r="P43" s="257"/>
      <c r="Q43" s="257"/>
      <c r="R43" s="226"/>
      <c r="S43" s="251">
        <f>M43</f>
        <v>0</v>
      </c>
    </row>
    <row r="44" spans="1:19" ht="75" customHeight="1">
      <c r="A44" s="252" t="s">
        <v>598</v>
      </c>
      <c r="B44" s="237" t="s">
        <v>75</v>
      </c>
      <c r="C44" s="239"/>
      <c r="D44" s="239"/>
      <c r="E44" s="239"/>
      <c r="F44" s="238">
        <v>74066</v>
      </c>
      <c r="G44" s="261"/>
      <c r="H44" s="261"/>
      <c r="I44" s="262"/>
      <c r="J44" s="262"/>
      <c r="K44" s="262"/>
      <c r="L44" s="262"/>
      <c r="M44" s="226">
        <f>SUM(C44:I44)</f>
        <v>74066</v>
      </c>
      <c r="N44" s="226"/>
      <c r="O44" s="226"/>
      <c r="P44" s="226"/>
      <c r="Q44" s="226"/>
      <c r="R44" s="226"/>
      <c r="S44" s="251">
        <f>M44</f>
        <v>74066</v>
      </c>
    </row>
    <row r="45" spans="1:19" ht="165" customHeight="1">
      <c r="A45" s="235" t="s">
        <v>599</v>
      </c>
      <c r="B45" s="237" t="s">
        <v>242</v>
      </c>
      <c r="C45" s="239"/>
      <c r="D45" s="239"/>
      <c r="E45" s="239"/>
      <c r="F45" s="238">
        <v>17134</v>
      </c>
      <c r="G45" s="261"/>
      <c r="H45" s="261"/>
      <c r="I45" s="262"/>
      <c r="J45" s="262"/>
      <c r="K45" s="262"/>
      <c r="L45" s="262"/>
      <c r="M45" s="226">
        <f>SUM(C45:I45)</f>
        <v>17134</v>
      </c>
      <c r="N45" s="226"/>
      <c r="O45" s="226"/>
      <c r="P45" s="226"/>
      <c r="Q45" s="226"/>
      <c r="R45" s="226"/>
      <c r="S45" s="251">
        <f>M45</f>
        <v>17134</v>
      </c>
    </row>
    <row r="46" spans="1:19" ht="84.75" customHeight="1">
      <c r="A46" s="263" t="s">
        <v>600</v>
      </c>
      <c r="B46" s="237" t="s">
        <v>243</v>
      </c>
      <c r="C46" s="239"/>
      <c r="D46" s="239"/>
      <c r="E46" s="239"/>
      <c r="F46" s="264"/>
      <c r="G46" s="261"/>
      <c r="H46" s="261"/>
      <c r="I46" s="262"/>
      <c r="J46" s="262"/>
      <c r="K46" s="262"/>
      <c r="L46" s="262"/>
      <c r="M46" s="226">
        <f>SUM(J46)</f>
        <v>0</v>
      </c>
      <c r="N46" s="226"/>
      <c r="O46" s="226"/>
      <c r="P46" s="226"/>
      <c r="Q46" s="226"/>
      <c r="R46" s="226"/>
      <c r="S46" s="251">
        <f>SUM(M46+R46)</f>
        <v>0</v>
      </c>
    </row>
    <row r="47" spans="1:19" ht="84.75" customHeight="1">
      <c r="A47" s="263" t="s">
        <v>781</v>
      </c>
      <c r="B47" s="237" t="s">
        <v>244</v>
      </c>
      <c r="C47" s="239"/>
      <c r="D47" s="239"/>
      <c r="E47" s="239"/>
      <c r="F47" s="264"/>
      <c r="G47" s="261"/>
      <c r="H47" s="261"/>
      <c r="I47" s="262"/>
      <c r="J47" s="262"/>
      <c r="K47" s="262"/>
      <c r="L47" s="262"/>
      <c r="M47" s="226">
        <f>SUM(J47)</f>
        <v>0</v>
      </c>
      <c r="N47" s="226"/>
      <c r="O47" s="226"/>
      <c r="P47" s="226"/>
      <c r="Q47" s="226"/>
      <c r="R47" s="226"/>
      <c r="S47" s="251">
        <f>SUM(M47+R47)</f>
        <v>0</v>
      </c>
    </row>
    <row r="48" spans="1:19" ht="84.75" customHeight="1">
      <c r="A48" s="263" t="s">
        <v>658</v>
      </c>
      <c r="B48" s="237" t="s">
        <v>245</v>
      </c>
      <c r="C48" s="239"/>
      <c r="D48" s="239"/>
      <c r="E48" s="239"/>
      <c r="F48" s="264"/>
      <c r="G48" s="261"/>
      <c r="H48" s="261"/>
      <c r="I48" s="262"/>
      <c r="J48" s="262"/>
      <c r="K48" s="262"/>
      <c r="L48" s="262"/>
      <c r="M48" s="226"/>
      <c r="N48" s="226"/>
      <c r="O48" s="226"/>
      <c r="P48" s="226"/>
      <c r="Q48" s="226"/>
      <c r="R48" s="265">
        <v>1187393.6</v>
      </c>
      <c r="S48" s="251">
        <f>M48+R48</f>
        <v>1187393.6</v>
      </c>
    </row>
    <row r="49" spans="1:19" ht="107.25" customHeight="1">
      <c r="A49" s="263" t="s">
        <v>782</v>
      </c>
      <c r="B49" s="237" t="s">
        <v>246</v>
      </c>
      <c r="C49" s="239"/>
      <c r="D49" s="239"/>
      <c r="E49" s="239"/>
      <c r="F49" s="264"/>
      <c r="G49" s="261"/>
      <c r="H49" s="261"/>
      <c r="I49" s="262"/>
      <c r="J49" s="262"/>
      <c r="K49" s="262"/>
      <c r="L49" s="262"/>
      <c r="M49" s="226">
        <f>SUM(K49)</f>
        <v>0</v>
      </c>
      <c r="N49" s="226"/>
      <c r="O49" s="226"/>
      <c r="P49" s="226"/>
      <c r="Q49" s="226"/>
      <c r="R49" s="265"/>
      <c r="S49" s="251">
        <f>SUM(M49+R49)</f>
        <v>0</v>
      </c>
    </row>
    <row r="50" spans="1:19" ht="84.75" customHeight="1">
      <c r="A50" s="263" t="s">
        <v>951</v>
      </c>
      <c r="B50" s="237" t="s">
        <v>247</v>
      </c>
      <c r="C50" s="239"/>
      <c r="D50" s="239"/>
      <c r="E50" s="239"/>
      <c r="F50" s="264"/>
      <c r="G50" s="261"/>
      <c r="H50" s="261"/>
      <c r="I50" s="262"/>
      <c r="J50" s="262"/>
      <c r="K50" s="262"/>
      <c r="L50" s="262"/>
      <c r="M50" s="257"/>
      <c r="N50" s="257"/>
      <c r="O50" s="257"/>
      <c r="P50" s="257"/>
      <c r="Q50" s="257"/>
      <c r="R50" s="265">
        <v>200366.4</v>
      </c>
      <c r="S50" s="251">
        <f>SUM(R50)</f>
        <v>200366.4</v>
      </c>
    </row>
    <row r="51" spans="1:22" ht="49.5" customHeight="1">
      <c r="A51" s="266" t="s">
        <v>783</v>
      </c>
      <c r="B51" s="267"/>
      <c r="C51" s="268">
        <f aca="true" t="shared" si="3" ref="C51:H51">SUM(C13:C45)</f>
        <v>92498840</v>
      </c>
      <c r="D51" s="268">
        <f t="shared" si="3"/>
        <v>9341920</v>
      </c>
      <c r="E51" s="268">
        <f t="shared" si="3"/>
        <v>3288520</v>
      </c>
      <c r="F51" s="268">
        <f t="shared" si="3"/>
        <v>91200</v>
      </c>
      <c r="G51" s="268">
        <f t="shared" si="3"/>
        <v>1760160</v>
      </c>
      <c r="H51" s="268">
        <f t="shared" si="3"/>
        <v>0</v>
      </c>
      <c r="I51" s="268">
        <f>SUM(I50)</f>
        <v>0</v>
      </c>
      <c r="J51" s="268">
        <f>SUM(J46:J47)</f>
        <v>0</v>
      </c>
      <c r="K51" s="268">
        <f>SUM(K49)</f>
        <v>0</v>
      </c>
      <c r="L51" s="268"/>
      <c r="M51" s="269">
        <f>SUM(M13:M50)</f>
        <v>106980640</v>
      </c>
      <c r="N51" s="269"/>
      <c r="O51" s="269"/>
      <c r="P51" s="269"/>
      <c r="Q51" s="269"/>
      <c r="R51" s="269">
        <f>SUM(R48:R50)</f>
        <v>1387760</v>
      </c>
      <c r="S51" s="269">
        <f>SUM(S13:S50)</f>
        <v>108368400</v>
      </c>
      <c r="U51" s="270"/>
      <c r="V51" s="271"/>
    </row>
    <row r="52" spans="1:22" ht="49.5" customHeight="1">
      <c r="A52" s="252"/>
      <c r="B52" s="272"/>
      <c r="C52" s="273"/>
      <c r="D52" s="274"/>
      <c r="E52" s="274"/>
      <c r="F52" s="274"/>
      <c r="G52" s="274"/>
      <c r="H52" s="274"/>
      <c r="I52" s="274"/>
      <c r="J52" s="274"/>
      <c r="K52" s="274"/>
      <c r="L52" s="274"/>
      <c r="M52" s="265"/>
      <c r="N52" s="265"/>
      <c r="O52" s="265"/>
      <c r="P52" s="265"/>
      <c r="Q52" s="265"/>
      <c r="R52" s="265"/>
      <c r="S52" s="265"/>
      <c r="U52" s="270"/>
      <c r="V52" s="271"/>
    </row>
    <row r="53" spans="1:22" ht="49.5" customHeight="1">
      <c r="A53" s="252"/>
      <c r="B53" s="272"/>
      <c r="C53" s="201" t="s">
        <v>784</v>
      </c>
      <c r="D53" s="190"/>
      <c r="E53" s="190"/>
      <c r="F53" s="190"/>
      <c r="G53" s="190"/>
      <c r="H53" s="190"/>
      <c r="I53" s="191"/>
      <c r="J53" s="191"/>
      <c r="K53" s="274"/>
      <c r="L53" s="274"/>
      <c r="M53" s="265"/>
      <c r="N53" s="265"/>
      <c r="O53" s="265"/>
      <c r="P53" s="265"/>
      <c r="Q53" s="265"/>
      <c r="R53" s="265"/>
      <c r="S53" s="265"/>
      <c r="U53" s="270"/>
      <c r="V53" s="271"/>
    </row>
    <row r="54" spans="1:22" ht="109.5" customHeight="1">
      <c r="A54" s="218" t="s">
        <v>706</v>
      </c>
      <c r="B54" s="219" t="s">
        <v>707</v>
      </c>
      <c r="C54" s="220"/>
      <c r="D54" s="221"/>
      <c r="E54" s="220"/>
      <c r="F54" s="220"/>
      <c r="G54" s="275">
        <v>6447840</v>
      </c>
      <c r="H54" s="220"/>
      <c r="I54" s="223"/>
      <c r="J54" s="223"/>
      <c r="K54" s="223"/>
      <c r="L54" s="223"/>
      <c r="M54" s="265">
        <f>SUM(G54)</f>
        <v>6447840</v>
      </c>
      <c r="N54" s="265"/>
      <c r="O54" s="265"/>
      <c r="P54" s="265"/>
      <c r="Q54" s="265"/>
      <c r="R54" s="265"/>
      <c r="S54" s="265">
        <f>SUM(M54)</f>
        <v>6447840</v>
      </c>
      <c r="U54" s="270"/>
      <c r="V54" s="271"/>
    </row>
    <row r="55" spans="1:22" ht="49.5" customHeight="1">
      <c r="A55" s="228" t="s">
        <v>309</v>
      </c>
      <c r="B55" s="229" t="s">
        <v>708</v>
      </c>
      <c r="C55" s="230">
        <v>3218060</v>
      </c>
      <c r="D55" s="231"/>
      <c r="E55" s="231"/>
      <c r="F55" s="231"/>
      <c r="G55" s="231"/>
      <c r="H55" s="231"/>
      <c r="I55" s="232"/>
      <c r="J55" s="232"/>
      <c r="K55" s="232"/>
      <c r="L55" s="232"/>
      <c r="M55" s="265">
        <f>SUM(C55)</f>
        <v>3218060</v>
      </c>
      <c r="N55" s="265"/>
      <c r="O55" s="265"/>
      <c r="P55" s="265"/>
      <c r="Q55" s="265"/>
      <c r="R55" s="265"/>
      <c r="S55" s="265">
        <f aca="true" t="shared" si="4" ref="S55:S63">SUM(M55)</f>
        <v>3218060</v>
      </c>
      <c r="U55" s="270"/>
      <c r="V55" s="271"/>
    </row>
    <row r="56" spans="1:22" ht="49.5" customHeight="1">
      <c r="A56" s="228" t="s">
        <v>310</v>
      </c>
      <c r="B56" s="229" t="s">
        <v>709</v>
      </c>
      <c r="C56" s="230">
        <f>65762249-4874000-6200000</f>
        <v>54688249</v>
      </c>
      <c r="D56" s="231"/>
      <c r="E56" s="231"/>
      <c r="F56" s="231"/>
      <c r="G56" s="231"/>
      <c r="H56" s="231"/>
      <c r="I56" s="232"/>
      <c r="J56" s="232"/>
      <c r="K56" s="232"/>
      <c r="L56" s="232"/>
      <c r="M56" s="265">
        <f aca="true" t="shared" si="5" ref="M56:M61">SUM(C56)</f>
        <v>54688249</v>
      </c>
      <c r="N56" s="265"/>
      <c r="O56" s="265"/>
      <c r="P56" s="265"/>
      <c r="Q56" s="265"/>
      <c r="R56" s="265"/>
      <c r="S56" s="265">
        <f t="shared" si="4"/>
        <v>54688249</v>
      </c>
      <c r="U56" s="270"/>
      <c r="V56" s="271"/>
    </row>
    <row r="57" spans="1:22" ht="49.5" customHeight="1">
      <c r="A57" s="228" t="s">
        <v>710</v>
      </c>
      <c r="B57" s="229" t="s">
        <v>711</v>
      </c>
      <c r="C57" s="230">
        <f>175686160-31660500+2200000</f>
        <v>146225660</v>
      </c>
      <c r="D57" s="231"/>
      <c r="E57" s="231"/>
      <c r="F57" s="231"/>
      <c r="G57" s="231"/>
      <c r="H57" s="231"/>
      <c r="I57" s="232"/>
      <c r="J57" s="232"/>
      <c r="K57" s="232"/>
      <c r="L57" s="232"/>
      <c r="M57" s="265">
        <f t="shared" si="5"/>
        <v>146225660</v>
      </c>
      <c r="N57" s="265"/>
      <c r="O57" s="265"/>
      <c r="P57" s="265"/>
      <c r="Q57" s="265"/>
      <c r="R57" s="265"/>
      <c r="S57" s="265">
        <f t="shared" si="4"/>
        <v>146225660</v>
      </c>
      <c r="U57" s="270"/>
      <c r="V57" s="271"/>
    </row>
    <row r="58" spans="1:22" ht="66.75" customHeight="1">
      <c r="A58" s="228" t="s">
        <v>712</v>
      </c>
      <c r="B58" s="229" t="s">
        <v>713</v>
      </c>
      <c r="C58" s="230">
        <f>11716977+2515000</f>
        <v>14231977</v>
      </c>
      <c r="D58" s="231"/>
      <c r="E58" s="231"/>
      <c r="F58" s="231"/>
      <c r="G58" s="231"/>
      <c r="H58" s="231"/>
      <c r="I58" s="232"/>
      <c r="J58" s="232"/>
      <c r="K58" s="232"/>
      <c r="L58" s="232"/>
      <c r="M58" s="265">
        <f t="shared" si="5"/>
        <v>14231977</v>
      </c>
      <c r="N58" s="265"/>
      <c r="O58" s="265"/>
      <c r="P58" s="265"/>
      <c r="Q58" s="265"/>
      <c r="R58" s="265"/>
      <c r="S58" s="265">
        <f t="shared" si="4"/>
        <v>14231977</v>
      </c>
      <c r="U58" s="270"/>
      <c r="V58" s="271"/>
    </row>
    <row r="59" spans="1:22" ht="49.5" customHeight="1">
      <c r="A59" s="228" t="s">
        <v>714</v>
      </c>
      <c r="B59" s="229" t="s">
        <v>715</v>
      </c>
      <c r="C59" s="230">
        <f>30671168+5030000</f>
        <v>35701168</v>
      </c>
      <c r="D59" s="231"/>
      <c r="E59" s="231"/>
      <c r="F59" s="231"/>
      <c r="G59" s="231"/>
      <c r="H59" s="231"/>
      <c r="I59" s="232"/>
      <c r="J59" s="232"/>
      <c r="K59" s="232"/>
      <c r="L59" s="232"/>
      <c r="M59" s="265">
        <f t="shared" si="5"/>
        <v>35701168</v>
      </c>
      <c r="N59" s="265"/>
      <c r="O59" s="265"/>
      <c r="P59" s="265"/>
      <c r="Q59" s="265"/>
      <c r="R59" s="265"/>
      <c r="S59" s="265">
        <f t="shared" si="4"/>
        <v>35701168</v>
      </c>
      <c r="U59" s="270"/>
      <c r="V59" s="271"/>
    </row>
    <row r="60" spans="1:22" ht="49.5" customHeight="1">
      <c r="A60" s="235" t="s">
        <v>716</v>
      </c>
      <c r="B60" s="229" t="s">
        <v>717</v>
      </c>
      <c r="C60" s="230">
        <f>1995095+155000</f>
        <v>2150095</v>
      </c>
      <c r="D60" s="231"/>
      <c r="E60" s="231"/>
      <c r="F60" s="231"/>
      <c r="G60" s="231"/>
      <c r="H60" s="231"/>
      <c r="I60" s="232"/>
      <c r="J60" s="232"/>
      <c r="K60" s="232"/>
      <c r="L60" s="232"/>
      <c r="M60" s="265">
        <f t="shared" si="5"/>
        <v>2150095</v>
      </c>
      <c r="N60" s="265"/>
      <c r="O60" s="265"/>
      <c r="P60" s="265"/>
      <c r="Q60" s="265"/>
      <c r="R60" s="265"/>
      <c r="S60" s="265">
        <f t="shared" si="4"/>
        <v>2150095</v>
      </c>
      <c r="U60" s="270"/>
      <c r="V60" s="271"/>
    </row>
    <row r="61" spans="1:22" ht="77.25" customHeight="1">
      <c r="A61" s="235" t="s">
        <v>718</v>
      </c>
      <c r="B61" s="229" t="s">
        <v>719</v>
      </c>
      <c r="C61" s="230">
        <f>1126841-495500</f>
        <v>631341</v>
      </c>
      <c r="D61" s="231"/>
      <c r="E61" s="231"/>
      <c r="F61" s="231"/>
      <c r="G61" s="231"/>
      <c r="H61" s="231"/>
      <c r="I61" s="232"/>
      <c r="J61" s="232"/>
      <c r="K61" s="232"/>
      <c r="L61" s="232"/>
      <c r="M61" s="265">
        <f t="shared" si="5"/>
        <v>631341</v>
      </c>
      <c r="N61" s="265"/>
      <c r="O61" s="265"/>
      <c r="P61" s="265"/>
      <c r="Q61" s="265"/>
      <c r="R61" s="265"/>
      <c r="S61" s="265">
        <f t="shared" si="4"/>
        <v>631341</v>
      </c>
      <c r="U61" s="270"/>
      <c r="V61" s="271"/>
    </row>
    <row r="62" spans="1:22" ht="77.25" customHeight="1">
      <c r="A62" s="228" t="s">
        <v>311</v>
      </c>
      <c r="B62" s="229" t="s">
        <v>720</v>
      </c>
      <c r="C62" s="230">
        <f>18632464+14100000</f>
        <v>32732464</v>
      </c>
      <c r="D62" s="231"/>
      <c r="E62" s="231"/>
      <c r="F62" s="231"/>
      <c r="G62" s="231"/>
      <c r="H62" s="231"/>
      <c r="I62" s="232"/>
      <c r="J62" s="232"/>
      <c r="K62" s="232"/>
      <c r="L62" s="232"/>
      <c r="M62" s="265">
        <f>SUM(C62)</f>
        <v>32732464</v>
      </c>
      <c r="N62" s="265"/>
      <c r="O62" s="265"/>
      <c r="P62" s="265"/>
      <c r="Q62" s="265"/>
      <c r="R62" s="265"/>
      <c r="S62" s="265">
        <f t="shared" si="4"/>
        <v>32732464</v>
      </c>
      <c r="U62" s="270"/>
      <c r="V62" s="271"/>
    </row>
    <row r="63" spans="1:22" ht="93" customHeight="1">
      <c r="A63" s="228" t="s">
        <v>721</v>
      </c>
      <c r="B63" s="229" t="s">
        <v>722</v>
      </c>
      <c r="C63" s="230">
        <f>41898306+15230000</f>
        <v>57128306</v>
      </c>
      <c r="D63" s="231"/>
      <c r="E63" s="231"/>
      <c r="F63" s="231"/>
      <c r="G63" s="231"/>
      <c r="H63" s="231"/>
      <c r="I63" s="232"/>
      <c r="J63" s="232"/>
      <c r="K63" s="232"/>
      <c r="L63" s="232"/>
      <c r="M63" s="265">
        <f>SUM(C63)</f>
        <v>57128306</v>
      </c>
      <c r="N63" s="265"/>
      <c r="O63" s="265"/>
      <c r="P63" s="265"/>
      <c r="Q63" s="265"/>
      <c r="R63" s="265"/>
      <c r="S63" s="265">
        <f t="shared" si="4"/>
        <v>57128306</v>
      </c>
      <c r="U63" s="270"/>
      <c r="V63" s="271"/>
    </row>
    <row r="64" spans="1:22" ht="409.5" customHeight="1">
      <c r="A64" s="236" t="s">
        <v>11</v>
      </c>
      <c r="B64" s="237" t="s">
        <v>312</v>
      </c>
      <c r="C64" s="256"/>
      <c r="D64" s="238">
        <f>29632362-2000000</f>
        <v>27632362</v>
      </c>
      <c r="E64" s="239"/>
      <c r="F64" s="239"/>
      <c r="G64" s="239"/>
      <c r="H64" s="239"/>
      <c r="I64" s="240"/>
      <c r="J64" s="240"/>
      <c r="K64" s="240"/>
      <c r="L64" s="240"/>
      <c r="M64" s="265">
        <f>SUM(D64)</f>
        <v>27632362</v>
      </c>
      <c r="N64" s="265"/>
      <c r="O64" s="265"/>
      <c r="P64" s="265"/>
      <c r="Q64" s="265"/>
      <c r="R64" s="265"/>
      <c r="S64" s="265">
        <f>SUM(M64)</f>
        <v>27632362</v>
      </c>
      <c r="U64" s="270"/>
      <c r="V64" s="271"/>
    </row>
    <row r="65" spans="1:22" ht="365.25" customHeight="1">
      <c r="A65" s="236" t="s">
        <v>302</v>
      </c>
      <c r="B65" s="641" t="s">
        <v>308</v>
      </c>
      <c r="C65" s="637"/>
      <c r="D65" s="636">
        <v>11636284</v>
      </c>
      <c r="E65" s="637"/>
      <c r="F65" s="637"/>
      <c r="G65" s="637"/>
      <c r="H65" s="637"/>
      <c r="I65" s="638"/>
      <c r="J65" s="241"/>
      <c r="K65" s="241"/>
      <c r="L65" s="241"/>
      <c r="M65" s="276"/>
      <c r="N65" s="276"/>
      <c r="O65" s="276"/>
      <c r="P65" s="276"/>
      <c r="Q65" s="276"/>
      <c r="R65" s="265"/>
      <c r="S65" s="265"/>
      <c r="U65" s="270"/>
      <c r="V65" s="271"/>
    </row>
    <row r="66" spans="1:22" ht="242.25" customHeight="1">
      <c r="A66" s="236" t="s">
        <v>561</v>
      </c>
      <c r="B66" s="641"/>
      <c r="C66" s="637"/>
      <c r="D66" s="636"/>
      <c r="E66" s="637"/>
      <c r="F66" s="637"/>
      <c r="G66" s="637"/>
      <c r="H66" s="637"/>
      <c r="I66" s="639"/>
      <c r="J66" s="245"/>
      <c r="K66" s="245"/>
      <c r="L66" s="245"/>
      <c r="M66" s="276"/>
      <c r="N66" s="276"/>
      <c r="O66" s="276"/>
      <c r="P66" s="276"/>
      <c r="Q66" s="276"/>
      <c r="R66" s="265"/>
      <c r="S66" s="265"/>
      <c r="U66" s="270"/>
      <c r="V66" s="271"/>
    </row>
    <row r="67" spans="1:22" ht="409.5" customHeight="1">
      <c r="A67" s="248" t="s">
        <v>611</v>
      </c>
      <c r="B67" s="641"/>
      <c r="C67" s="637"/>
      <c r="D67" s="636"/>
      <c r="E67" s="637"/>
      <c r="F67" s="637"/>
      <c r="G67" s="637"/>
      <c r="H67" s="637"/>
      <c r="I67" s="640"/>
      <c r="J67" s="249"/>
      <c r="K67" s="249"/>
      <c r="L67" s="249"/>
      <c r="M67" s="265">
        <f>SUM(D65)</f>
        <v>11636284</v>
      </c>
      <c r="N67" s="265"/>
      <c r="O67" s="265"/>
      <c r="P67" s="265"/>
      <c r="Q67" s="265"/>
      <c r="R67" s="265"/>
      <c r="S67" s="265">
        <f>SUM(M67)</f>
        <v>11636284</v>
      </c>
      <c r="U67" s="270"/>
      <c r="V67" s="271"/>
    </row>
    <row r="68" spans="1:22" ht="177" customHeight="1">
      <c r="A68" s="235" t="s">
        <v>612</v>
      </c>
      <c r="B68" s="237" t="s">
        <v>790</v>
      </c>
      <c r="C68" s="239"/>
      <c r="D68" s="238">
        <v>1336916</v>
      </c>
      <c r="E68" s="239"/>
      <c r="F68" s="239"/>
      <c r="G68" s="239"/>
      <c r="H68" s="239"/>
      <c r="I68" s="240"/>
      <c r="J68" s="240"/>
      <c r="K68" s="240"/>
      <c r="L68" s="240"/>
      <c r="M68" s="265">
        <f>SUM(D68)</f>
        <v>1336916</v>
      </c>
      <c r="N68" s="265"/>
      <c r="O68" s="265"/>
      <c r="P68" s="265"/>
      <c r="Q68" s="265"/>
      <c r="R68" s="265"/>
      <c r="S68" s="265">
        <f>SUM(M68)</f>
        <v>1336916</v>
      </c>
      <c r="U68" s="270"/>
      <c r="V68" s="271"/>
    </row>
    <row r="69" spans="1:22" ht="404.25" customHeight="1">
      <c r="A69" s="235" t="s">
        <v>613</v>
      </c>
      <c r="B69" s="237" t="s">
        <v>768</v>
      </c>
      <c r="C69" s="239"/>
      <c r="D69" s="238">
        <v>304912</v>
      </c>
      <c r="E69" s="239"/>
      <c r="F69" s="239"/>
      <c r="G69" s="239"/>
      <c r="H69" s="239"/>
      <c r="I69" s="240"/>
      <c r="J69" s="240"/>
      <c r="K69" s="240"/>
      <c r="L69" s="240"/>
      <c r="M69" s="265">
        <f>SUM(D69)</f>
        <v>304912</v>
      </c>
      <c r="N69" s="265"/>
      <c r="O69" s="265"/>
      <c r="P69" s="265"/>
      <c r="Q69" s="265"/>
      <c r="R69" s="265"/>
      <c r="S69" s="265">
        <f>SUM(M69)</f>
        <v>304912</v>
      </c>
      <c r="U69" s="270"/>
      <c r="V69" s="271"/>
    </row>
    <row r="70" spans="1:22" ht="77.25" customHeight="1">
      <c r="A70" s="235" t="s">
        <v>769</v>
      </c>
      <c r="B70" s="237" t="s">
        <v>770</v>
      </c>
      <c r="C70" s="239"/>
      <c r="D70" s="238">
        <v>2976996</v>
      </c>
      <c r="E70" s="239"/>
      <c r="F70" s="239"/>
      <c r="G70" s="239"/>
      <c r="H70" s="239"/>
      <c r="I70" s="240"/>
      <c r="J70" s="240"/>
      <c r="K70" s="240"/>
      <c r="L70" s="240"/>
      <c r="M70" s="265">
        <f>SUM(D70)</f>
        <v>2976996</v>
      </c>
      <c r="N70" s="265"/>
      <c r="O70" s="265"/>
      <c r="P70" s="265"/>
      <c r="Q70" s="265"/>
      <c r="R70" s="265"/>
      <c r="S70" s="265">
        <f>SUM(M70)</f>
        <v>2976996</v>
      </c>
      <c r="U70" s="270"/>
      <c r="V70" s="271"/>
    </row>
    <row r="71" spans="1:22" ht="100.5" customHeight="1">
      <c r="A71" s="252" t="s">
        <v>12</v>
      </c>
      <c r="B71" s="237" t="s">
        <v>771</v>
      </c>
      <c r="C71" s="239"/>
      <c r="D71" s="238">
        <f>8062270-2300000</f>
        <v>5762270</v>
      </c>
      <c r="E71" s="239"/>
      <c r="F71" s="239"/>
      <c r="G71" s="239"/>
      <c r="H71" s="239"/>
      <c r="I71" s="240"/>
      <c r="J71" s="240"/>
      <c r="K71" s="240"/>
      <c r="L71" s="240"/>
      <c r="M71" s="265">
        <f>SUM(D71)</f>
        <v>5762270</v>
      </c>
      <c r="N71" s="265"/>
      <c r="O71" s="265"/>
      <c r="P71" s="265"/>
      <c r="Q71" s="265"/>
      <c r="R71" s="265"/>
      <c r="S71" s="265">
        <f>SUM(M71)</f>
        <v>5762270</v>
      </c>
      <c r="U71" s="270"/>
      <c r="V71" s="271"/>
    </row>
    <row r="72" spans="1:22" ht="49.5" customHeight="1">
      <c r="A72" s="642" t="s">
        <v>431</v>
      </c>
      <c r="B72" s="641" t="s">
        <v>772</v>
      </c>
      <c r="C72" s="637"/>
      <c r="D72" s="637"/>
      <c r="E72" s="635">
        <f>664734-60000</f>
        <v>604734</v>
      </c>
      <c r="F72" s="637"/>
      <c r="G72" s="637"/>
      <c r="H72" s="637"/>
      <c r="I72" s="643"/>
      <c r="J72" s="241"/>
      <c r="K72" s="241"/>
      <c r="L72" s="241"/>
      <c r="M72" s="265"/>
      <c r="N72" s="265"/>
      <c r="O72" s="265"/>
      <c r="P72" s="265"/>
      <c r="Q72" s="265"/>
      <c r="R72" s="265"/>
      <c r="S72" s="265"/>
      <c r="U72" s="270"/>
      <c r="V72" s="271"/>
    </row>
    <row r="73" spans="1:22" ht="409.5" customHeight="1">
      <c r="A73" s="642"/>
      <c r="B73" s="641"/>
      <c r="C73" s="637"/>
      <c r="D73" s="637"/>
      <c r="E73" s="635"/>
      <c r="F73" s="637"/>
      <c r="G73" s="637"/>
      <c r="H73" s="637"/>
      <c r="I73" s="643"/>
      <c r="J73" s="249"/>
      <c r="K73" s="249"/>
      <c r="L73" s="249"/>
      <c r="M73" s="265">
        <f>SUM(E72)</f>
        <v>604734</v>
      </c>
      <c r="N73" s="265"/>
      <c r="O73" s="265"/>
      <c r="P73" s="265"/>
      <c r="Q73" s="265"/>
      <c r="R73" s="265"/>
      <c r="S73" s="265">
        <f aca="true" t="shared" si="6" ref="S73:S78">SUM(M73)</f>
        <v>604734</v>
      </c>
      <c r="U73" s="270"/>
      <c r="V73" s="271"/>
    </row>
    <row r="74" spans="1:22" ht="169.5" customHeight="1">
      <c r="A74" s="248" t="s">
        <v>546</v>
      </c>
      <c r="B74" s="237" t="s">
        <v>773</v>
      </c>
      <c r="C74" s="239"/>
      <c r="D74" s="239"/>
      <c r="E74" s="238">
        <v>75526</v>
      </c>
      <c r="F74" s="239"/>
      <c r="G74" s="239"/>
      <c r="H74" s="239"/>
      <c r="I74" s="240"/>
      <c r="J74" s="240"/>
      <c r="K74" s="240"/>
      <c r="L74" s="240"/>
      <c r="M74" s="265">
        <f>SUM(E74)</f>
        <v>75526</v>
      </c>
      <c r="N74" s="265"/>
      <c r="O74" s="265"/>
      <c r="P74" s="265"/>
      <c r="Q74" s="265"/>
      <c r="R74" s="265"/>
      <c r="S74" s="265">
        <f t="shared" si="6"/>
        <v>75526</v>
      </c>
      <c r="U74" s="270"/>
      <c r="V74" s="271"/>
    </row>
    <row r="75" spans="1:22" ht="49.5" customHeight="1">
      <c r="A75" s="248" t="s">
        <v>774</v>
      </c>
      <c r="B75" s="237" t="s">
        <v>775</v>
      </c>
      <c r="C75" s="239"/>
      <c r="D75" s="239"/>
      <c r="E75" s="238">
        <f>3792760+60000</f>
        <v>3852760</v>
      </c>
      <c r="F75" s="239"/>
      <c r="G75" s="239"/>
      <c r="H75" s="239"/>
      <c r="I75" s="240"/>
      <c r="J75" s="240"/>
      <c r="K75" s="240"/>
      <c r="L75" s="240"/>
      <c r="M75" s="265">
        <f>SUM(E75)</f>
        <v>3852760</v>
      </c>
      <c r="N75" s="265"/>
      <c r="O75" s="265"/>
      <c r="P75" s="265"/>
      <c r="Q75" s="265"/>
      <c r="R75" s="265"/>
      <c r="S75" s="265">
        <f t="shared" si="6"/>
        <v>3852760</v>
      </c>
      <c r="U75" s="270"/>
      <c r="V75" s="271"/>
    </row>
    <row r="76" spans="1:22" ht="107.25" customHeight="1">
      <c r="A76" s="235" t="s">
        <v>264</v>
      </c>
      <c r="B76" s="253">
        <v>170102</v>
      </c>
      <c r="C76" s="239"/>
      <c r="D76" s="239"/>
      <c r="E76" s="238">
        <v>1467940</v>
      </c>
      <c r="F76" s="239"/>
      <c r="G76" s="239"/>
      <c r="H76" s="239"/>
      <c r="I76" s="240"/>
      <c r="J76" s="240"/>
      <c r="K76" s="240"/>
      <c r="L76" s="240"/>
      <c r="M76" s="265">
        <f>SUM(E76)</f>
        <v>1467940</v>
      </c>
      <c r="N76" s="265"/>
      <c r="O76" s="265"/>
      <c r="P76" s="265"/>
      <c r="Q76" s="265"/>
      <c r="R76" s="265"/>
      <c r="S76" s="265">
        <f t="shared" si="6"/>
        <v>1467940</v>
      </c>
      <c r="U76" s="270"/>
      <c r="V76" s="271"/>
    </row>
    <row r="77" spans="1:22" ht="92.25" customHeight="1">
      <c r="A77" s="235" t="s">
        <v>265</v>
      </c>
      <c r="B77" s="253">
        <v>170302</v>
      </c>
      <c r="C77" s="239"/>
      <c r="D77" s="239"/>
      <c r="E77" s="238">
        <f>1330000-1330000</f>
        <v>0</v>
      </c>
      <c r="F77" s="239"/>
      <c r="G77" s="239"/>
      <c r="H77" s="239"/>
      <c r="I77" s="240"/>
      <c r="J77" s="240"/>
      <c r="K77" s="240"/>
      <c r="L77" s="240"/>
      <c r="M77" s="265">
        <f>SUM(E77)</f>
        <v>0</v>
      </c>
      <c r="N77" s="265"/>
      <c r="O77" s="265"/>
      <c r="P77" s="265"/>
      <c r="Q77" s="265"/>
      <c r="R77" s="265"/>
      <c r="S77" s="265">
        <f t="shared" si="6"/>
        <v>0</v>
      </c>
      <c r="U77" s="270"/>
      <c r="V77" s="271"/>
    </row>
    <row r="78" spans="1:22" ht="104.25" customHeight="1">
      <c r="A78" s="235" t="s">
        <v>266</v>
      </c>
      <c r="B78" s="253">
        <v>170602</v>
      </c>
      <c r="C78" s="239"/>
      <c r="D78" s="239"/>
      <c r="E78" s="238">
        <f>20422720+3713738</f>
        <v>24136458</v>
      </c>
      <c r="F78" s="239"/>
      <c r="G78" s="239"/>
      <c r="H78" s="239"/>
      <c r="I78" s="240"/>
      <c r="J78" s="240"/>
      <c r="K78" s="240"/>
      <c r="L78" s="240"/>
      <c r="M78" s="265">
        <f>SUM(E78)</f>
        <v>24136458</v>
      </c>
      <c r="N78" s="265"/>
      <c r="O78" s="265"/>
      <c r="P78" s="265"/>
      <c r="Q78" s="265"/>
      <c r="R78" s="265"/>
      <c r="S78" s="265">
        <f t="shared" si="6"/>
        <v>24136458</v>
      </c>
      <c r="U78" s="270"/>
      <c r="V78" s="271"/>
    </row>
    <row r="79" spans="1:22" ht="390.75" customHeight="1">
      <c r="A79" s="248" t="s">
        <v>267</v>
      </c>
      <c r="B79" s="237" t="s">
        <v>570</v>
      </c>
      <c r="C79" s="254"/>
      <c r="D79" s="254"/>
      <c r="E79" s="255"/>
      <c r="F79" s="238">
        <f>36936-714-16340-14792.61+14267.93+40021.42</f>
        <v>59378.74</v>
      </c>
      <c r="G79" s="239"/>
      <c r="H79" s="239"/>
      <c r="I79" s="240"/>
      <c r="J79" s="240"/>
      <c r="K79" s="240"/>
      <c r="L79" s="240"/>
      <c r="M79" s="265">
        <f>SUM(F79)</f>
        <v>59378.74</v>
      </c>
      <c r="N79" s="265"/>
      <c r="O79" s="265"/>
      <c r="P79" s="265"/>
      <c r="Q79" s="265"/>
      <c r="R79" s="265"/>
      <c r="S79" s="265">
        <f>SUM(M79)</f>
        <v>59378.74</v>
      </c>
      <c r="U79" s="270"/>
      <c r="V79" s="271"/>
    </row>
    <row r="80" spans="1:22" ht="409.5" customHeight="1">
      <c r="A80" s="248" t="s">
        <v>779</v>
      </c>
      <c r="B80" s="641" t="s">
        <v>897</v>
      </c>
      <c r="C80" s="637"/>
      <c r="D80" s="637"/>
      <c r="E80" s="636"/>
      <c r="F80" s="636">
        <v>4404.26</v>
      </c>
      <c r="G80" s="637"/>
      <c r="H80" s="637"/>
      <c r="I80" s="638"/>
      <c r="J80" s="241"/>
      <c r="K80" s="241"/>
      <c r="L80" s="241"/>
      <c r="M80" s="265"/>
      <c r="N80" s="265"/>
      <c r="O80" s="265"/>
      <c r="P80" s="265"/>
      <c r="Q80" s="265"/>
      <c r="R80" s="265"/>
      <c r="S80" s="265"/>
      <c r="U80" s="270"/>
      <c r="V80" s="271"/>
    </row>
    <row r="81" spans="1:22" ht="382.5" customHeight="1">
      <c r="A81" s="248" t="s">
        <v>780</v>
      </c>
      <c r="B81" s="641"/>
      <c r="C81" s="637"/>
      <c r="D81" s="637"/>
      <c r="E81" s="636"/>
      <c r="F81" s="636"/>
      <c r="G81" s="637"/>
      <c r="H81" s="637"/>
      <c r="I81" s="639"/>
      <c r="J81" s="245"/>
      <c r="K81" s="245"/>
      <c r="L81" s="245"/>
      <c r="M81" s="265"/>
      <c r="N81" s="265"/>
      <c r="O81" s="265"/>
      <c r="P81" s="265"/>
      <c r="Q81" s="265"/>
      <c r="R81" s="265"/>
      <c r="S81" s="265"/>
      <c r="U81" s="270"/>
      <c r="V81" s="271"/>
    </row>
    <row r="82" spans="1:22" ht="167.25" customHeight="1">
      <c r="A82" s="248" t="s">
        <v>596</v>
      </c>
      <c r="B82" s="641"/>
      <c r="C82" s="637"/>
      <c r="D82" s="637"/>
      <c r="E82" s="636"/>
      <c r="F82" s="636"/>
      <c r="G82" s="637"/>
      <c r="H82" s="637"/>
      <c r="I82" s="640"/>
      <c r="J82" s="249"/>
      <c r="K82" s="249"/>
      <c r="L82" s="249"/>
      <c r="M82" s="265">
        <f>SUM(F80)</f>
        <v>4404.26</v>
      </c>
      <c r="N82" s="265"/>
      <c r="O82" s="265"/>
      <c r="P82" s="265"/>
      <c r="Q82" s="265"/>
      <c r="R82" s="265"/>
      <c r="S82" s="265">
        <f aca="true" t="shared" si="7" ref="S82:S88">SUM(M82)</f>
        <v>4404.26</v>
      </c>
      <c r="U82" s="270"/>
      <c r="V82" s="271"/>
    </row>
    <row r="83" spans="1:22" ht="183" customHeight="1">
      <c r="A83" s="252" t="s">
        <v>898</v>
      </c>
      <c r="B83" s="237" t="s">
        <v>899</v>
      </c>
      <c r="C83" s="239"/>
      <c r="D83" s="239"/>
      <c r="E83" s="239"/>
      <c r="F83" s="238">
        <f>1900-1900</f>
        <v>0</v>
      </c>
      <c r="G83" s="239"/>
      <c r="H83" s="239"/>
      <c r="I83" s="240"/>
      <c r="J83" s="240"/>
      <c r="K83" s="240"/>
      <c r="L83" s="240"/>
      <c r="M83" s="265">
        <f>SUM(F83)</f>
        <v>0</v>
      </c>
      <c r="N83" s="265"/>
      <c r="O83" s="265"/>
      <c r="P83" s="265"/>
      <c r="Q83" s="265"/>
      <c r="R83" s="265"/>
      <c r="S83" s="265">
        <f t="shared" si="7"/>
        <v>0</v>
      </c>
      <c r="U83" s="270"/>
      <c r="V83" s="271"/>
    </row>
    <row r="84" spans="1:22" ht="76.5" customHeight="1">
      <c r="A84" s="252" t="s">
        <v>597</v>
      </c>
      <c r="B84" s="237" t="s">
        <v>74</v>
      </c>
      <c r="C84" s="239"/>
      <c r="D84" s="239"/>
      <c r="E84" s="239"/>
      <c r="F84" s="238">
        <v>13289.59</v>
      </c>
      <c r="G84" s="239"/>
      <c r="H84" s="239"/>
      <c r="I84" s="240"/>
      <c r="J84" s="240"/>
      <c r="K84" s="240"/>
      <c r="L84" s="240"/>
      <c r="M84" s="265">
        <f>SUM(F84)</f>
        <v>13289.59</v>
      </c>
      <c r="N84" s="265"/>
      <c r="O84" s="265"/>
      <c r="P84" s="265"/>
      <c r="Q84" s="265"/>
      <c r="R84" s="265"/>
      <c r="S84" s="265">
        <f t="shared" si="7"/>
        <v>13289.59</v>
      </c>
      <c r="U84" s="270"/>
      <c r="V84" s="271"/>
    </row>
    <row r="85" spans="1:22" ht="88.5" customHeight="1">
      <c r="A85" s="252" t="s">
        <v>598</v>
      </c>
      <c r="B85" s="237" t="s">
        <v>75</v>
      </c>
      <c r="C85" s="239"/>
      <c r="D85" s="239"/>
      <c r="E85" s="239"/>
      <c r="F85" s="238">
        <f>24278+714+30046.35+20040.61+158213.06</f>
        <v>233292.02</v>
      </c>
      <c r="G85" s="261"/>
      <c r="H85" s="261"/>
      <c r="I85" s="262"/>
      <c r="J85" s="262"/>
      <c r="K85" s="262"/>
      <c r="L85" s="262"/>
      <c r="M85" s="265">
        <f>SUM(F85)</f>
        <v>233292.02</v>
      </c>
      <c r="N85" s="265"/>
      <c r="O85" s="265"/>
      <c r="P85" s="265"/>
      <c r="Q85" s="265"/>
      <c r="R85" s="265"/>
      <c r="S85" s="265">
        <f t="shared" si="7"/>
        <v>233292.02</v>
      </c>
      <c r="U85" s="270"/>
      <c r="V85" s="271"/>
    </row>
    <row r="86" spans="1:22" ht="167.25" customHeight="1">
      <c r="A86" s="235" t="s">
        <v>599</v>
      </c>
      <c r="B86" s="237" t="s">
        <v>242</v>
      </c>
      <c r="C86" s="239"/>
      <c r="D86" s="239"/>
      <c r="E86" s="239"/>
      <c r="F86" s="238">
        <f>23526+39.65-3486-5248+3667.89+11135.85</f>
        <v>29635.39</v>
      </c>
      <c r="G86" s="261"/>
      <c r="H86" s="261"/>
      <c r="I86" s="262"/>
      <c r="J86" s="262"/>
      <c r="K86" s="262"/>
      <c r="L86" s="262"/>
      <c r="M86" s="265">
        <f>SUM(F86)</f>
        <v>29635.39</v>
      </c>
      <c r="N86" s="265"/>
      <c r="O86" s="265"/>
      <c r="P86" s="265"/>
      <c r="Q86" s="265"/>
      <c r="R86" s="265"/>
      <c r="S86" s="265">
        <f t="shared" si="7"/>
        <v>29635.39</v>
      </c>
      <c r="U86" s="270"/>
      <c r="V86" s="271"/>
    </row>
    <row r="87" spans="1:22" ht="87" customHeight="1">
      <c r="A87" s="263" t="s">
        <v>600</v>
      </c>
      <c r="B87" s="237" t="s">
        <v>243</v>
      </c>
      <c r="C87" s="239"/>
      <c r="D87" s="239"/>
      <c r="E87" s="239"/>
      <c r="F87" s="264"/>
      <c r="G87" s="261"/>
      <c r="H87" s="261"/>
      <c r="I87" s="262"/>
      <c r="J87" s="277">
        <v>1853260</v>
      </c>
      <c r="K87" s="262"/>
      <c r="L87" s="262"/>
      <c r="M87" s="265">
        <f>SUM(J87)</f>
        <v>1853260</v>
      </c>
      <c r="N87" s="265"/>
      <c r="O87" s="265"/>
      <c r="P87" s="265"/>
      <c r="Q87" s="265"/>
      <c r="R87" s="265"/>
      <c r="S87" s="265">
        <f t="shared" si="7"/>
        <v>1853260</v>
      </c>
      <c r="U87" s="270"/>
      <c r="V87" s="271"/>
    </row>
    <row r="88" spans="1:22" ht="147" customHeight="1">
      <c r="A88" s="263" t="s">
        <v>781</v>
      </c>
      <c r="B88" s="237" t="s">
        <v>244</v>
      </c>
      <c r="C88" s="239"/>
      <c r="D88" s="239"/>
      <c r="E88" s="239"/>
      <c r="F88" s="264"/>
      <c r="G88" s="261"/>
      <c r="H88" s="261"/>
      <c r="I88" s="262"/>
      <c r="J88" s="277">
        <v>136040</v>
      </c>
      <c r="K88" s="262"/>
      <c r="L88" s="262"/>
      <c r="M88" s="265">
        <f>SUM(J88)</f>
        <v>136040</v>
      </c>
      <c r="N88" s="265"/>
      <c r="O88" s="265"/>
      <c r="P88" s="265"/>
      <c r="Q88" s="265"/>
      <c r="R88" s="265"/>
      <c r="S88" s="265">
        <f t="shared" si="7"/>
        <v>136040</v>
      </c>
      <c r="U88" s="270"/>
      <c r="V88" s="271"/>
    </row>
    <row r="89" spans="1:22" ht="120.75" customHeight="1">
      <c r="A89" s="263" t="s">
        <v>658</v>
      </c>
      <c r="B89" s="237" t="s">
        <v>245</v>
      </c>
      <c r="C89" s="239"/>
      <c r="D89" s="239"/>
      <c r="E89" s="239"/>
      <c r="F89" s="264"/>
      <c r="G89" s="261"/>
      <c r="H89" s="261"/>
      <c r="I89" s="262"/>
      <c r="J89" s="262"/>
      <c r="K89" s="262"/>
      <c r="L89" s="262"/>
      <c r="M89" s="265"/>
      <c r="N89" s="265"/>
      <c r="O89" s="265"/>
      <c r="P89" s="265"/>
      <c r="Q89" s="265"/>
      <c r="R89" s="265">
        <v>9521766.4</v>
      </c>
      <c r="S89" s="265">
        <f>SUM(R89)</f>
        <v>9521766.4</v>
      </c>
      <c r="U89" s="270"/>
      <c r="V89" s="271"/>
    </row>
    <row r="90" spans="1:22" ht="81.75" customHeight="1">
      <c r="A90" s="263" t="s">
        <v>782</v>
      </c>
      <c r="B90" s="237" t="s">
        <v>246</v>
      </c>
      <c r="C90" s="239"/>
      <c r="D90" s="239"/>
      <c r="E90" s="239"/>
      <c r="F90" s="264"/>
      <c r="G90" s="261"/>
      <c r="H90" s="261"/>
      <c r="I90" s="262"/>
      <c r="J90" s="262"/>
      <c r="K90" s="277">
        <v>5714440</v>
      </c>
      <c r="L90" s="277"/>
      <c r="M90" s="265">
        <f>SUM(K90)</f>
        <v>5714440</v>
      </c>
      <c r="N90" s="265"/>
      <c r="O90" s="265"/>
      <c r="P90" s="265"/>
      <c r="Q90" s="265"/>
      <c r="R90" s="265"/>
      <c r="S90" s="265">
        <f>SUM(M90)</f>
        <v>5714440</v>
      </c>
      <c r="U90" s="270"/>
      <c r="V90" s="271"/>
    </row>
    <row r="91" spans="1:22" ht="78" customHeight="1">
      <c r="A91" s="263" t="s">
        <v>951</v>
      </c>
      <c r="B91" s="237" t="s">
        <v>247</v>
      </c>
      <c r="C91" s="239"/>
      <c r="D91" s="239"/>
      <c r="E91" s="239"/>
      <c r="F91" s="264"/>
      <c r="G91" s="261"/>
      <c r="H91" s="261"/>
      <c r="I91" s="262"/>
      <c r="J91" s="262"/>
      <c r="K91" s="262"/>
      <c r="L91" s="262"/>
      <c r="M91" s="265"/>
      <c r="N91" s="265"/>
      <c r="O91" s="265"/>
      <c r="P91" s="265"/>
      <c r="Q91" s="265"/>
      <c r="R91" s="265">
        <v>937353.6</v>
      </c>
      <c r="S91" s="265">
        <f>SUM(R91)</f>
        <v>937353.6</v>
      </c>
      <c r="U91" s="270"/>
      <c r="V91" s="271"/>
    </row>
    <row r="92" spans="1:19" ht="109.5" customHeight="1">
      <c r="A92" s="252" t="s">
        <v>432</v>
      </c>
      <c r="B92" s="237" t="s">
        <v>433</v>
      </c>
      <c r="C92" s="239"/>
      <c r="D92" s="239"/>
      <c r="E92" s="239"/>
      <c r="F92" s="239"/>
      <c r="G92" s="239"/>
      <c r="H92" s="278">
        <v>109820</v>
      </c>
      <c r="I92" s="240"/>
      <c r="J92" s="240"/>
      <c r="K92" s="240"/>
      <c r="L92" s="240"/>
      <c r="M92" s="278">
        <f>SUM(H92)</f>
        <v>109820</v>
      </c>
      <c r="N92" s="278"/>
      <c r="O92" s="278"/>
      <c r="P92" s="278"/>
      <c r="Q92" s="278"/>
      <c r="R92" s="278"/>
      <c r="S92" s="251">
        <f aca="true" t="shared" si="8" ref="S92:S100">M92</f>
        <v>109820</v>
      </c>
    </row>
    <row r="93" spans="1:19" ht="44.25" customHeight="1">
      <c r="A93" s="252" t="s">
        <v>434</v>
      </c>
      <c r="B93" s="237" t="s">
        <v>435</v>
      </c>
      <c r="C93" s="239"/>
      <c r="D93" s="239"/>
      <c r="E93" s="239"/>
      <c r="F93" s="239"/>
      <c r="G93" s="239"/>
      <c r="H93" s="278">
        <f>SUM(H94:H96)</f>
        <v>0</v>
      </c>
      <c r="I93" s="277">
        <f>SUM(I94:I96)</f>
        <v>1746670</v>
      </c>
      <c r="J93" s="240"/>
      <c r="K93" s="240"/>
      <c r="L93" s="240"/>
      <c r="M93" s="278">
        <f>SUM(H93:I93)</f>
        <v>1746670</v>
      </c>
      <c r="N93" s="278"/>
      <c r="O93" s="278"/>
      <c r="P93" s="278"/>
      <c r="Q93" s="278"/>
      <c r="R93" s="278"/>
      <c r="S93" s="251">
        <f t="shared" si="8"/>
        <v>1746670</v>
      </c>
    </row>
    <row r="94" spans="1:19" s="284" customFormat="1" ht="168.75" customHeight="1">
      <c r="A94" s="279" t="s">
        <v>436</v>
      </c>
      <c r="B94" s="280" t="s">
        <v>435</v>
      </c>
      <c r="C94" s="281"/>
      <c r="D94" s="281"/>
      <c r="E94" s="281"/>
      <c r="F94" s="281"/>
      <c r="G94" s="281"/>
      <c r="H94" s="282"/>
      <c r="I94" s="282">
        <v>1543940</v>
      </c>
      <c r="J94" s="281"/>
      <c r="K94" s="281"/>
      <c r="L94" s="281"/>
      <c r="M94" s="282">
        <f>SUM(I94)</f>
        <v>1543940</v>
      </c>
      <c r="N94" s="282"/>
      <c r="O94" s="282"/>
      <c r="P94" s="282"/>
      <c r="Q94" s="282"/>
      <c r="R94" s="282"/>
      <c r="S94" s="283">
        <f t="shared" si="8"/>
        <v>1543940</v>
      </c>
    </row>
    <row r="95" spans="1:19" s="284" customFormat="1" ht="180.75" customHeight="1">
      <c r="A95" s="279" t="s">
        <v>437</v>
      </c>
      <c r="B95" s="280" t="s">
        <v>435</v>
      </c>
      <c r="C95" s="281"/>
      <c r="D95" s="281"/>
      <c r="E95" s="281"/>
      <c r="F95" s="281"/>
      <c r="G95" s="281"/>
      <c r="H95" s="282"/>
      <c r="I95" s="282">
        <v>193800</v>
      </c>
      <c r="J95" s="281"/>
      <c r="K95" s="281"/>
      <c r="L95" s="281"/>
      <c r="M95" s="282">
        <f aca="true" t="shared" si="9" ref="M95:M100">SUM(I95)</f>
        <v>193800</v>
      </c>
      <c r="N95" s="282"/>
      <c r="O95" s="282"/>
      <c r="P95" s="282"/>
      <c r="Q95" s="282"/>
      <c r="R95" s="282"/>
      <c r="S95" s="283">
        <f t="shared" si="8"/>
        <v>193800</v>
      </c>
    </row>
    <row r="96" spans="1:19" s="284" customFormat="1" ht="112.5" customHeight="1">
      <c r="A96" s="279" t="s">
        <v>438</v>
      </c>
      <c r="B96" s="280" t="s">
        <v>435</v>
      </c>
      <c r="C96" s="281"/>
      <c r="D96" s="281"/>
      <c r="E96" s="281"/>
      <c r="F96" s="281"/>
      <c r="G96" s="281"/>
      <c r="H96" s="282"/>
      <c r="I96" s="282">
        <v>8930</v>
      </c>
      <c r="J96" s="281"/>
      <c r="K96" s="281"/>
      <c r="L96" s="281"/>
      <c r="M96" s="282">
        <f t="shared" si="9"/>
        <v>8930</v>
      </c>
      <c r="N96" s="282"/>
      <c r="O96" s="282"/>
      <c r="P96" s="282"/>
      <c r="Q96" s="282"/>
      <c r="R96" s="282"/>
      <c r="S96" s="283">
        <f t="shared" si="8"/>
        <v>8930</v>
      </c>
    </row>
    <row r="97" spans="1:19" ht="74.25" customHeight="1">
      <c r="A97" s="252" t="s">
        <v>130</v>
      </c>
      <c r="B97" s="237" t="s">
        <v>439</v>
      </c>
      <c r="C97" s="239"/>
      <c r="D97" s="239"/>
      <c r="E97" s="239"/>
      <c r="F97" s="239"/>
      <c r="G97" s="239"/>
      <c r="H97" s="278">
        <v>5522540</v>
      </c>
      <c r="I97" s="277"/>
      <c r="J97" s="240"/>
      <c r="K97" s="240"/>
      <c r="L97" s="240"/>
      <c r="M97" s="277">
        <f>SUM(H97)</f>
        <v>5522540</v>
      </c>
      <c r="N97" s="277"/>
      <c r="O97" s="277"/>
      <c r="P97" s="277"/>
      <c r="Q97" s="277"/>
      <c r="R97" s="277"/>
      <c r="S97" s="251">
        <f t="shared" si="8"/>
        <v>5522540</v>
      </c>
    </row>
    <row r="98" spans="1:19" ht="90" customHeight="1">
      <c r="A98" s="252" t="s">
        <v>440</v>
      </c>
      <c r="B98" s="237" t="s">
        <v>441</v>
      </c>
      <c r="C98" s="239"/>
      <c r="D98" s="239"/>
      <c r="E98" s="239"/>
      <c r="F98" s="239"/>
      <c r="G98" s="239"/>
      <c r="H98" s="278">
        <v>810920</v>
      </c>
      <c r="I98" s="277"/>
      <c r="J98" s="240"/>
      <c r="K98" s="240"/>
      <c r="L98" s="240"/>
      <c r="M98" s="277">
        <f>SUM(H98)</f>
        <v>810920</v>
      </c>
      <c r="N98" s="277"/>
      <c r="O98" s="277"/>
      <c r="P98" s="277"/>
      <c r="Q98" s="277"/>
      <c r="R98" s="277"/>
      <c r="S98" s="251">
        <f t="shared" si="8"/>
        <v>810920</v>
      </c>
    </row>
    <row r="99" spans="1:19" ht="190.5" customHeight="1">
      <c r="A99" s="252" t="s">
        <v>442</v>
      </c>
      <c r="B99" s="237" t="s">
        <v>443</v>
      </c>
      <c r="C99" s="239"/>
      <c r="D99" s="239"/>
      <c r="E99" s="239"/>
      <c r="F99" s="239"/>
      <c r="G99" s="239"/>
      <c r="H99" s="239"/>
      <c r="I99" s="277">
        <f>SUM(I100:I101)</f>
        <v>2639290</v>
      </c>
      <c r="J99" s="240"/>
      <c r="K99" s="240"/>
      <c r="L99" s="240"/>
      <c r="M99" s="277">
        <f t="shared" si="9"/>
        <v>2639290</v>
      </c>
      <c r="N99" s="277"/>
      <c r="O99" s="277"/>
      <c r="P99" s="277"/>
      <c r="Q99" s="277"/>
      <c r="R99" s="277"/>
      <c r="S99" s="251">
        <f t="shared" si="8"/>
        <v>2639290</v>
      </c>
    </row>
    <row r="100" spans="1:19" s="288" customFormat="1" ht="69" customHeight="1">
      <c r="A100" s="279" t="s">
        <v>444</v>
      </c>
      <c r="B100" s="285" t="s">
        <v>443</v>
      </c>
      <c r="C100" s="286"/>
      <c r="D100" s="286"/>
      <c r="E100" s="286"/>
      <c r="F100" s="286"/>
      <c r="G100" s="286"/>
      <c r="H100" s="286"/>
      <c r="I100" s="287">
        <v>2598630</v>
      </c>
      <c r="J100" s="286"/>
      <c r="K100" s="286"/>
      <c r="L100" s="286"/>
      <c r="M100" s="282">
        <f t="shared" si="9"/>
        <v>2598630</v>
      </c>
      <c r="N100" s="282"/>
      <c r="O100" s="282"/>
      <c r="P100" s="282"/>
      <c r="Q100" s="282"/>
      <c r="R100" s="282"/>
      <c r="S100" s="283">
        <f t="shared" si="8"/>
        <v>2598630</v>
      </c>
    </row>
    <row r="101" spans="1:19" s="288" customFormat="1" ht="137.25" customHeight="1">
      <c r="A101" s="279" t="s">
        <v>445</v>
      </c>
      <c r="B101" s="285" t="s">
        <v>131</v>
      </c>
      <c r="C101" s="286"/>
      <c r="D101" s="286"/>
      <c r="E101" s="286"/>
      <c r="F101" s="286"/>
      <c r="G101" s="286"/>
      <c r="H101" s="286"/>
      <c r="I101" s="287">
        <v>40660</v>
      </c>
      <c r="J101" s="286"/>
      <c r="K101" s="286"/>
      <c r="L101" s="286"/>
      <c r="M101" s="282">
        <f>SUM(I101)</f>
        <v>40660</v>
      </c>
      <c r="N101" s="282"/>
      <c r="O101" s="282"/>
      <c r="P101" s="282"/>
      <c r="Q101" s="282"/>
      <c r="R101" s="282"/>
      <c r="S101" s="283"/>
    </row>
    <row r="102" spans="1:19" ht="69.75" customHeight="1">
      <c r="A102" s="252" t="s">
        <v>107</v>
      </c>
      <c r="B102" s="272" t="s">
        <v>108</v>
      </c>
      <c r="C102" s="239"/>
      <c r="D102" s="239"/>
      <c r="E102" s="239"/>
      <c r="F102" s="239"/>
      <c r="G102" s="239"/>
      <c r="H102" s="278">
        <v>239172</v>
      </c>
      <c r="I102" s="240"/>
      <c r="J102" s="240"/>
      <c r="K102" s="240"/>
      <c r="L102" s="240"/>
      <c r="M102" s="277">
        <f>SUM(H102)</f>
        <v>239172</v>
      </c>
      <c r="N102" s="277"/>
      <c r="O102" s="277"/>
      <c r="P102" s="277"/>
      <c r="Q102" s="277"/>
      <c r="R102" s="277"/>
      <c r="S102" s="251">
        <f>M102</f>
        <v>239172</v>
      </c>
    </row>
    <row r="103" spans="1:21" ht="39" customHeight="1">
      <c r="A103" s="252" t="s">
        <v>109</v>
      </c>
      <c r="B103" s="272" t="s">
        <v>110</v>
      </c>
      <c r="C103" s="239"/>
      <c r="D103" s="239"/>
      <c r="E103" s="239"/>
      <c r="F103" s="239"/>
      <c r="G103" s="239"/>
      <c r="H103" s="278">
        <v>4788</v>
      </c>
      <c r="I103" s="240"/>
      <c r="J103" s="240"/>
      <c r="K103" s="240"/>
      <c r="L103" s="240"/>
      <c r="M103" s="277">
        <f>SUM(H103)</f>
        <v>4788</v>
      </c>
      <c r="N103" s="277"/>
      <c r="O103" s="277"/>
      <c r="P103" s="277"/>
      <c r="Q103" s="277"/>
      <c r="R103" s="277"/>
      <c r="S103" s="251">
        <f>M103</f>
        <v>4788</v>
      </c>
      <c r="U103" s="289"/>
    </row>
    <row r="104" spans="1:21" s="284" customFormat="1" ht="39" customHeight="1">
      <c r="A104" s="252" t="s">
        <v>547</v>
      </c>
      <c r="B104" s="272">
        <v>250353</v>
      </c>
      <c r="C104" s="240"/>
      <c r="D104" s="240"/>
      <c r="E104" s="240"/>
      <c r="F104" s="240"/>
      <c r="G104" s="240"/>
      <c r="H104" s="240"/>
      <c r="I104" s="240"/>
      <c r="J104" s="240"/>
      <c r="K104" s="240"/>
      <c r="L104" s="240"/>
      <c r="M104" s="277">
        <f>SUM(I104)</f>
        <v>0</v>
      </c>
      <c r="N104" s="277"/>
      <c r="O104" s="277"/>
      <c r="P104" s="277"/>
      <c r="Q104" s="277"/>
      <c r="R104" s="277"/>
      <c r="S104" s="290">
        <f aca="true" t="shared" si="10" ref="S104:S112">SUM(M104)</f>
        <v>0</v>
      </c>
      <c r="U104" s="291"/>
    </row>
    <row r="105" spans="1:21" ht="87" customHeight="1">
      <c r="A105" s="292" t="s">
        <v>548</v>
      </c>
      <c r="B105" s="272">
        <v>91101</v>
      </c>
      <c r="C105" s="239"/>
      <c r="D105" s="239"/>
      <c r="E105" s="239"/>
      <c r="F105" s="239"/>
      <c r="G105" s="239"/>
      <c r="H105" s="239"/>
      <c r="I105" s="240"/>
      <c r="J105" s="240"/>
      <c r="K105" s="240"/>
      <c r="L105" s="240"/>
      <c r="M105" s="277">
        <f>SUM(H105)</f>
        <v>0</v>
      </c>
      <c r="N105" s="277"/>
      <c r="O105" s="277"/>
      <c r="P105" s="277"/>
      <c r="Q105" s="277"/>
      <c r="R105" s="277"/>
      <c r="S105" s="251">
        <f t="shared" si="10"/>
        <v>0</v>
      </c>
      <c r="U105" s="293"/>
    </row>
    <row r="106" spans="1:21" ht="87" customHeight="1">
      <c r="A106" s="292" t="s">
        <v>549</v>
      </c>
      <c r="B106" s="272">
        <v>80800</v>
      </c>
      <c r="C106" s="239"/>
      <c r="D106" s="239"/>
      <c r="E106" s="239"/>
      <c r="F106" s="239"/>
      <c r="G106" s="239"/>
      <c r="H106" s="239"/>
      <c r="I106" s="240">
        <v>3669800</v>
      </c>
      <c r="J106" s="240"/>
      <c r="K106" s="240"/>
      <c r="L106" s="240"/>
      <c r="M106" s="277">
        <f aca="true" t="shared" si="11" ref="M106:M112">SUM(I106)</f>
        <v>3669800</v>
      </c>
      <c r="N106" s="277"/>
      <c r="O106" s="277"/>
      <c r="P106" s="277"/>
      <c r="Q106" s="277"/>
      <c r="R106" s="277"/>
      <c r="S106" s="251">
        <f t="shared" si="10"/>
        <v>3669800</v>
      </c>
      <c r="U106" s="293"/>
    </row>
    <row r="107" spans="1:21" ht="87" customHeight="1">
      <c r="A107" s="292" t="s">
        <v>549</v>
      </c>
      <c r="B107" s="272">
        <v>80102</v>
      </c>
      <c r="C107" s="239"/>
      <c r="D107" s="239"/>
      <c r="E107" s="239"/>
      <c r="F107" s="239"/>
      <c r="G107" s="239"/>
      <c r="H107" s="239"/>
      <c r="I107" s="240">
        <v>14276100</v>
      </c>
      <c r="J107" s="240"/>
      <c r="K107" s="240"/>
      <c r="L107" s="240"/>
      <c r="M107" s="277">
        <f t="shared" si="11"/>
        <v>14276100</v>
      </c>
      <c r="N107" s="277"/>
      <c r="O107" s="277"/>
      <c r="P107" s="277"/>
      <c r="Q107" s="277"/>
      <c r="R107" s="277"/>
      <c r="S107" s="251">
        <f t="shared" si="10"/>
        <v>14276100</v>
      </c>
      <c r="U107" s="293"/>
    </row>
    <row r="108" spans="1:21" ht="87" customHeight="1">
      <c r="A108" s="292" t="s">
        <v>549</v>
      </c>
      <c r="B108" s="272">
        <v>80203</v>
      </c>
      <c r="C108" s="239"/>
      <c r="D108" s="239"/>
      <c r="E108" s="239"/>
      <c r="F108" s="239"/>
      <c r="G108" s="239"/>
      <c r="H108" s="239"/>
      <c r="I108" s="240">
        <v>10406300</v>
      </c>
      <c r="J108" s="240"/>
      <c r="K108" s="240"/>
      <c r="L108" s="240"/>
      <c r="M108" s="277">
        <f t="shared" si="11"/>
        <v>10406300</v>
      </c>
      <c r="N108" s="277"/>
      <c r="O108" s="277"/>
      <c r="P108" s="277"/>
      <c r="Q108" s="277"/>
      <c r="R108" s="277"/>
      <c r="S108" s="251">
        <f t="shared" si="10"/>
        <v>10406300</v>
      </c>
      <c r="U108" s="293"/>
    </row>
    <row r="109" spans="1:21" ht="87" customHeight="1">
      <c r="A109" s="292" t="s">
        <v>549</v>
      </c>
      <c r="B109" s="272">
        <v>80101</v>
      </c>
      <c r="C109" s="239"/>
      <c r="D109" s="239"/>
      <c r="E109" s="239"/>
      <c r="F109" s="239"/>
      <c r="G109" s="239"/>
      <c r="H109" s="239"/>
      <c r="I109" s="240">
        <f>51337400-375700</f>
        <v>50961700</v>
      </c>
      <c r="J109" s="240"/>
      <c r="K109" s="240"/>
      <c r="L109" s="240"/>
      <c r="M109" s="277">
        <f t="shared" si="11"/>
        <v>50961700</v>
      </c>
      <c r="N109" s="277"/>
      <c r="O109" s="277"/>
      <c r="P109" s="277"/>
      <c r="Q109" s="277"/>
      <c r="R109" s="277"/>
      <c r="S109" s="251">
        <f t="shared" si="10"/>
        <v>50961700</v>
      </c>
      <c r="U109" s="293"/>
    </row>
    <row r="110" spans="1:21" ht="87" customHeight="1">
      <c r="A110" s="292" t="s">
        <v>549</v>
      </c>
      <c r="B110" s="272">
        <v>81003</v>
      </c>
      <c r="C110" s="239"/>
      <c r="D110" s="239"/>
      <c r="E110" s="239"/>
      <c r="F110" s="239"/>
      <c r="G110" s="239"/>
      <c r="H110" s="239"/>
      <c r="I110" s="240">
        <v>3796000</v>
      </c>
      <c r="J110" s="240"/>
      <c r="K110" s="240"/>
      <c r="L110" s="240"/>
      <c r="M110" s="277">
        <f t="shared" si="11"/>
        <v>3796000</v>
      </c>
      <c r="N110" s="277"/>
      <c r="O110" s="277"/>
      <c r="P110" s="277"/>
      <c r="Q110" s="277"/>
      <c r="R110" s="277"/>
      <c r="S110" s="251">
        <f t="shared" si="10"/>
        <v>3796000</v>
      </c>
      <c r="U110" s="293"/>
    </row>
    <row r="111" spans="1:21" ht="105.75" customHeight="1">
      <c r="A111" s="292" t="s">
        <v>550</v>
      </c>
      <c r="B111" s="272">
        <v>250353</v>
      </c>
      <c r="C111" s="239"/>
      <c r="D111" s="239"/>
      <c r="E111" s="239"/>
      <c r="F111" s="239"/>
      <c r="G111" s="239"/>
      <c r="H111" s="239"/>
      <c r="I111" s="240">
        <v>375700</v>
      </c>
      <c r="J111" s="240"/>
      <c r="K111" s="240"/>
      <c r="L111" s="240"/>
      <c r="M111" s="277">
        <f t="shared" si="11"/>
        <v>375700</v>
      </c>
      <c r="N111" s="277"/>
      <c r="O111" s="277"/>
      <c r="P111" s="277"/>
      <c r="Q111" s="277"/>
      <c r="R111" s="277"/>
      <c r="S111" s="251">
        <f t="shared" si="10"/>
        <v>375700</v>
      </c>
      <c r="U111" s="293"/>
    </row>
    <row r="112" spans="1:21" ht="123" customHeight="1">
      <c r="A112" s="292" t="s">
        <v>551</v>
      </c>
      <c r="B112" s="272">
        <v>180410</v>
      </c>
      <c r="C112" s="239"/>
      <c r="D112" s="239"/>
      <c r="E112" s="239"/>
      <c r="F112" s="239"/>
      <c r="G112" s="239"/>
      <c r="H112" s="239"/>
      <c r="I112" s="240">
        <v>61400</v>
      </c>
      <c r="J112" s="240"/>
      <c r="K112" s="240"/>
      <c r="L112" s="240"/>
      <c r="M112" s="277">
        <f t="shared" si="11"/>
        <v>61400</v>
      </c>
      <c r="N112" s="277"/>
      <c r="O112" s="277"/>
      <c r="P112" s="277"/>
      <c r="Q112" s="277"/>
      <c r="R112" s="277"/>
      <c r="S112" s="251">
        <f t="shared" si="10"/>
        <v>61400</v>
      </c>
      <c r="U112" s="293"/>
    </row>
    <row r="113" spans="1:21" ht="130.5" customHeight="1">
      <c r="A113" s="292" t="s">
        <v>551</v>
      </c>
      <c r="B113" s="272">
        <v>150101</v>
      </c>
      <c r="C113" s="239"/>
      <c r="D113" s="239"/>
      <c r="E113" s="239"/>
      <c r="F113" s="239"/>
      <c r="G113" s="239"/>
      <c r="H113" s="239"/>
      <c r="I113" s="240"/>
      <c r="J113" s="240"/>
      <c r="K113" s="240"/>
      <c r="L113" s="240"/>
      <c r="M113" s="277"/>
      <c r="N113" s="277">
        <v>543700</v>
      </c>
      <c r="O113" s="277"/>
      <c r="P113" s="277"/>
      <c r="Q113" s="277"/>
      <c r="R113" s="277"/>
      <c r="S113" s="251">
        <f>SUM(N113)</f>
        <v>543700</v>
      </c>
      <c r="U113" s="293"/>
    </row>
    <row r="114" spans="1:21" ht="237" customHeight="1">
      <c r="A114" s="292" t="s">
        <v>895</v>
      </c>
      <c r="B114" s="272">
        <v>250372</v>
      </c>
      <c r="C114" s="239"/>
      <c r="D114" s="239"/>
      <c r="E114" s="239"/>
      <c r="F114" s="239"/>
      <c r="G114" s="239"/>
      <c r="H114" s="239"/>
      <c r="I114" s="240"/>
      <c r="J114" s="240"/>
      <c r="K114" s="240"/>
      <c r="L114" s="240"/>
      <c r="M114" s="277"/>
      <c r="N114" s="277"/>
      <c r="O114" s="277">
        <f>48180000+3000000</f>
        <v>51180000</v>
      </c>
      <c r="P114" s="277"/>
      <c r="Q114" s="277"/>
      <c r="R114" s="277"/>
      <c r="S114" s="251">
        <f>SUM(O114)</f>
        <v>51180000</v>
      </c>
      <c r="U114" s="293"/>
    </row>
    <row r="115" spans="1:21" ht="275.25" customHeight="1">
      <c r="A115" s="294" t="s">
        <v>552</v>
      </c>
      <c r="B115" s="272">
        <v>250359</v>
      </c>
      <c r="C115" s="239"/>
      <c r="D115" s="239"/>
      <c r="E115" s="239"/>
      <c r="F115" s="239"/>
      <c r="G115" s="239"/>
      <c r="H115" s="239"/>
      <c r="I115" s="240"/>
      <c r="J115" s="240"/>
      <c r="K115" s="240"/>
      <c r="L115" s="240"/>
      <c r="M115" s="277"/>
      <c r="N115" s="277"/>
      <c r="O115" s="277">
        <v>8000000</v>
      </c>
      <c r="P115" s="277"/>
      <c r="Q115" s="277"/>
      <c r="R115" s="277"/>
      <c r="S115" s="251"/>
      <c r="U115" s="293"/>
    </row>
    <row r="116" spans="1:21" ht="130.5" customHeight="1">
      <c r="A116" s="263" t="s">
        <v>798</v>
      </c>
      <c r="B116" s="272">
        <v>250203</v>
      </c>
      <c r="C116" s="239"/>
      <c r="D116" s="239"/>
      <c r="E116" s="239"/>
      <c r="F116" s="239"/>
      <c r="G116" s="239"/>
      <c r="H116" s="239"/>
      <c r="I116" s="240"/>
      <c r="J116" s="240"/>
      <c r="K116" s="240"/>
      <c r="L116" s="240">
        <v>2364700</v>
      </c>
      <c r="M116" s="277">
        <f>SUM(L116)</f>
        <v>2364700</v>
      </c>
      <c r="N116" s="277"/>
      <c r="O116" s="277"/>
      <c r="P116" s="277"/>
      <c r="Q116" s="277"/>
      <c r="R116" s="277"/>
      <c r="S116" s="251">
        <f>SUM(M116)</f>
        <v>2364700</v>
      </c>
      <c r="U116" s="293"/>
    </row>
    <row r="117" spans="1:21" ht="166.5" customHeight="1">
      <c r="A117" s="263" t="s">
        <v>504</v>
      </c>
      <c r="B117" s="272">
        <v>180410</v>
      </c>
      <c r="C117" s="239"/>
      <c r="D117" s="239"/>
      <c r="E117" s="239"/>
      <c r="F117" s="239"/>
      <c r="G117" s="239"/>
      <c r="H117" s="239"/>
      <c r="I117" s="240">
        <v>106518.4</v>
      </c>
      <c r="J117" s="240"/>
      <c r="K117" s="240"/>
      <c r="L117" s="240"/>
      <c r="M117" s="277">
        <f>SUM(I117)</f>
        <v>106518.4</v>
      </c>
      <c r="N117" s="277"/>
      <c r="O117" s="277"/>
      <c r="P117" s="277"/>
      <c r="Q117" s="277"/>
      <c r="R117" s="277"/>
      <c r="S117" s="251">
        <f>SUM(M117)</f>
        <v>106518.4</v>
      </c>
      <c r="U117" s="293"/>
    </row>
    <row r="118" spans="1:21" ht="151.5" customHeight="1">
      <c r="A118" s="263" t="s">
        <v>504</v>
      </c>
      <c r="B118" s="272">
        <v>250353</v>
      </c>
      <c r="C118" s="239"/>
      <c r="D118" s="239"/>
      <c r="E118" s="239"/>
      <c r="F118" s="239"/>
      <c r="G118" s="239"/>
      <c r="H118" s="239"/>
      <c r="I118" s="240">
        <v>35481.6</v>
      </c>
      <c r="J118" s="240"/>
      <c r="K118" s="240"/>
      <c r="L118" s="240"/>
      <c r="M118" s="277">
        <f>SUM(I118)</f>
        <v>35481.6</v>
      </c>
      <c r="N118" s="277"/>
      <c r="O118" s="277"/>
      <c r="P118" s="277"/>
      <c r="Q118" s="277"/>
      <c r="R118" s="277"/>
      <c r="S118" s="251">
        <f>SUM(M118)</f>
        <v>35481.6</v>
      </c>
      <c r="U118" s="293"/>
    </row>
    <row r="119" spans="1:21" ht="139.5" customHeight="1">
      <c r="A119" s="263" t="s">
        <v>505</v>
      </c>
      <c r="B119" s="272">
        <v>250404</v>
      </c>
      <c r="C119" s="239"/>
      <c r="D119" s="239"/>
      <c r="E119" s="239"/>
      <c r="F119" s="239"/>
      <c r="G119" s="239"/>
      <c r="H119" s="239"/>
      <c r="I119" s="240">
        <v>535000</v>
      </c>
      <c r="J119" s="240"/>
      <c r="K119" s="240"/>
      <c r="L119" s="240"/>
      <c r="M119" s="277">
        <f>SUM(I119)</f>
        <v>535000</v>
      </c>
      <c r="N119" s="277"/>
      <c r="O119" s="277"/>
      <c r="P119" s="277"/>
      <c r="Q119" s="277"/>
      <c r="R119" s="277"/>
      <c r="S119" s="251">
        <f>SUM(M119)</f>
        <v>535000</v>
      </c>
      <c r="U119" s="293"/>
    </row>
    <row r="120" spans="1:21" ht="139.5" customHeight="1">
      <c r="A120" s="263" t="s">
        <v>155</v>
      </c>
      <c r="B120" s="272">
        <v>150101</v>
      </c>
      <c r="C120" s="239"/>
      <c r="D120" s="239"/>
      <c r="E120" s="239"/>
      <c r="F120" s="239"/>
      <c r="G120" s="239"/>
      <c r="H120" s="239"/>
      <c r="I120" s="240"/>
      <c r="J120" s="240"/>
      <c r="K120" s="240"/>
      <c r="L120" s="240"/>
      <c r="M120" s="277"/>
      <c r="N120" s="277">
        <v>20893800</v>
      </c>
      <c r="O120" s="277"/>
      <c r="P120" s="277"/>
      <c r="Q120" s="277"/>
      <c r="R120" s="277"/>
      <c r="S120" s="251">
        <f>SUM(N120)</f>
        <v>20893800</v>
      </c>
      <c r="U120" s="293"/>
    </row>
    <row r="121" spans="1:21" ht="209.25" customHeight="1">
      <c r="A121" s="252" t="s">
        <v>339</v>
      </c>
      <c r="B121" s="378">
        <v>250323</v>
      </c>
      <c r="C121" s="239"/>
      <c r="D121" s="239"/>
      <c r="E121" s="239"/>
      <c r="F121" s="239"/>
      <c r="G121" s="239"/>
      <c r="H121" s="239"/>
      <c r="I121" s="240"/>
      <c r="J121" s="240"/>
      <c r="K121" s="240"/>
      <c r="L121" s="240"/>
      <c r="M121" s="277"/>
      <c r="N121" s="277"/>
      <c r="O121" s="277"/>
      <c r="P121" s="277"/>
      <c r="Q121" s="277">
        <v>25262900</v>
      </c>
      <c r="R121" s="277"/>
      <c r="S121" s="251">
        <f>SUM(Q121)</f>
        <v>25262900</v>
      </c>
      <c r="U121" s="293"/>
    </row>
    <row r="122" spans="1:21" ht="209.25" customHeight="1">
      <c r="A122" s="252" t="s">
        <v>931</v>
      </c>
      <c r="B122" s="272">
        <v>250304</v>
      </c>
      <c r="C122" s="239"/>
      <c r="D122" s="239"/>
      <c r="E122" s="239"/>
      <c r="F122" s="239"/>
      <c r="G122" s="239"/>
      <c r="H122" s="239"/>
      <c r="I122" s="240"/>
      <c r="J122" s="240"/>
      <c r="K122" s="240"/>
      <c r="L122" s="240"/>
      <c r="M122" s="277"/>
      <c r="N122" s="277"/>
      <c r="O122" s="277"/>
      <c r="P122" s="277">
        <v>105000000</v>
      </c>
      <c r="Q122" s="277"/>
      <c r="R122" s="277"/>
      <c r="S122" s="251"/>
      <c r="U122" s="293"/>
    </row>
    <row r="123" spans="1:21" ht="209.25" customHeight="1">
      <c r="A123" s="263" t="s">
        <v>270</v>
      </c>
      <c r="B123" s="272">
        <v>250363</v>
      </c>
      <c r="C123" s="239"/>
      <c r="D123" s="239"/>
      <c r="E123" s="239"/>
      <c r="F123" s="239"/>
      <c r="G123" s="239"/>
      <c r="H123" s="239"/>
      <c r="I123" s="240"/>
      <c r="J123" s="240"/>
      <c r="K123" s="240"/>
      <c r="L123" s="240"/>
      <c r="M123" s="277"/>
      <c r="N123" s="277"/>
      <c r="O123" s="277">
        <v>5600000</v>
      </c>
      <c r="P123" s="277"/>
      <c r="Q123" s="277"/>
      <c r="R123" s="277"/>
      <c r="S123" s="251"/>
      <c r="U123" s="293"/>
    </row>
    <row r="124" spans="1:20" ht="49.5" customHeight="1">
      <c r="A124" s="295"/>
      <c r="B124" s="402"/>
      <c r="C124" s="296">
        <f>SUM(C55:C63)</f>
        <v>346707320</v>
      </c>
      <c r="D124" s="297">
        <f>SUM(D62:D71)</f>
        <v>49649740</v>
      </c>
      <c r="E124" s="297">
        <f>SUM(E71:E78)</f>
        <v>30137418</v>
      </c>
      <c r="F124" s="297">
        <f>SUM(F78:F86)</f>
        <v>340000</v>
      </c>
      <c r="G124" s="297">
        <f>SUM(G54)</f>
        <v>6447840</v>
      </c>
      <c r="H124" s="297">
        <f>SUM(H92+H97+H98+H102+H103+H105)</f>
        <v>6687240</v>
      </c>
      <c r="I124" s="297">
        <f>SUM(I93+I99+I106+I107+I108+I109+I110+I111+I112+I117+I118+I119)</f>
        <v>88609960</v>
      </c>
      <c r="J124" s="297">
        <f>SUM(J87:J88)</f>
        <v>1989300</v>
      </c>
      <c r="K124" s="297">
        <f>SUM(K90)</f>
        <v>5714440</v>
      </c>
      <c r="L124" s="297">
        <f>SUM(L116)</f>
        <v>2364700</v>
      </c>
      <c r="M124" s="297">
        <f>SUM(M54+M55+M56+M57+M58+M59+M60+M61+M62+M63+M64+M67+M68+M69+M70+M71+M73+M74+M75+M76+M77+M78+M79+M82+M83+M84+M85+M86+M87+M88+M90+M92+M93+M97+M98+M99+M102+M103+M104+M105+M106+M107+M108+M109+M110+M111+M112+M116+M117+M118+M119)</f>
        <v>538647958</v>
      </c>
      <c r="N124" s="297">
        <f>SUM(N113+N120)</f>
        <v>21437500</v>
      </c>
      <c r="O124" s="297">
        <f>SUM(O114+O115+O123)</f>
        <v>64780000</v>
      </c>
      <c r="P124" s="297">
        <f>SUM(P122)</f>
        <v>105000000</v>
      </c>
      <c r="Q124" s="297">
        <f>SUM(Q121)</f>
        <v>25262900</v>
      </c>
      <c r="R124" s="297">
        <f>SUM(R89+R91)</f>
        <v>10459120</v>
      </c>
      <c r="S124" s="297">
        <f>SUM(M124+O124+R124+N124+Q124)</f>
        <v>660587478</v>
      </c>
      <c r="T124" s="298">
        <f>SUM(T92+T93+T97+T98+T99+T102+T103)</f>
        <v>0</v>
      </c>
    </row>
    <row r="125" ht="37.5" customHeight="1">
      <c r="C125" s="299"/>
    </row>
    <row r="126" spans="4:12" ht="46.5" customHeight="1">
      <c r="D126" s="299"/>
      <c r="E126" s="299"/>
      <c r="F126" s="299"/>
      <c r="G126" s="300"/>
      <c r="H126" s="299"/>
      <c r="I126" s="301"/>
      <c r="J126" s="302"/>
      <c r="K126" s="301"/>
      <c r="L126" s="301"/>
    </row>
    <row r="127" ht="49.5" customHeight="1"/>
  </sheetData>
  <mergeCells count="80">
    <mergeCell ref="A1:F1"/>
    <mergeCell ref="A2:F2"/>
    <mergeCell ref="A3:F3"/>
    <mergeCell ref="A8:A11"/>
    <mergeCell ref="B8:B11"/>
    <mergeCell ref="C8:K8"/>
    <mergeCell ref="J9:J11"/>
    <mergeCell ref="K9:K11"/>
    <mergeCell ref="S8:S11"/>
    <mergeCell ref="C9:C11"/>
    <mergeCell ref="D9:D11"/>
    <mergeCell ref="E9:E11"/>
    <mergeCell ref="F9:F11"/>
    <mergeCell ref="G9:G11"/>
    <mergeCell ref="H9:H11"/>
    <mergeCell ref="I9:I11"/>
    <mergeCell ref="L9:L11"/>
    <mergeCell ref="N9:N11"/>
    <mergeCell ref="O9:O11"/>
    <mergeCell ref="Q9:Q10"/>
    <mergeCell ref="P9:P10"/>
    <mergeCell ref="M8:M11"/>
    <mergeCell ref="N8:R8"/>
    <mergeCell ref="R9:R10"/>
    <mergeCell ref="B24:B26"/>
    <mergeCell ref="C24:C26"/>
    <mergeCell ref="D24:D26"/>
    <mergeCell ref="E24:E26"/>
    <mergeCell ref="F24:F26"/>
    <mergeCell ref="G24:G26"/>
    <mergeCell ref="H24:H26"/>
    <mergeCell ref="I24:I26"/>
    <mergeCell ref="M24:M26"/>
    <mergeCell ref="S24:S26"/>
    <mergeCell ref="A31:A32"/>
    <mergeCell ref="B31:B32"/>
    <mergeCell ref="C31:C32"/>
    <mergeCell ref="D31:D32"/>
    <mergeCell ref="E31:E32"/>
    <mergeCell ref="F31:F32"/>
    <mergeCell ref="G31:G32"/>
    <mergeCell ref="H31:H32"/>
    <mergeCell ref="I31:I32"/>
    <mergeCell ref="M31:M32"/>
    <mergeCell ref="S31:S32"/>
    <mergeCell ref="B39:B41"/>
    <mergeCell ref="C39:C41"/>
    <mergeCell ref="D39:D41"/>
    <mergeCell ref="E39:E41"/>
    <mergeCell ref="F39:F41"/>
    <mergeCell ref="G39:G41"/>
    <mergeCell ref="H39:H41"/>
    <mergeCell ref="I39:I41"/>
    <mergeCell ref="M39:M41"/>
    <mergeCell ref="S39:S41"/>
    <mergeCell ref="B65:B67"/>
    <mergeCell ref="C65:C67"/>
    <mergeCell ref="D65:D67"/>
    <mergeCell ref="E65:E67"/>
    <mergeCell ref="F65:F67"/>
    <mergeCell ref="G65:G67"/>
    <mergeCell ref="H65:H67"/>
    <mergeCell ref="I65:I67"/>
    <mergeCell ref="F72:F73"/>
    <mergeCell ref="G72:G73"/>
    <mergeCell ref="H72:H73"/>
    <mergeCell ref="I72:I73"/>
    <mergeCell ref="A72:A73"/>
    <mergeCell ref="B72:B73"/>
    <mergeCell ref="C72:C73"/>
    <mergeCell ref="D72:D73"/>
    <mergeCell ref="I80:I82"/>
    <mergeCell ref="B80:B82"/>
    <mergeCell ref="C80:C82"/>
    <mergeCell ref="D80:D82"/>
    <mergeCell ref="E80:E82"/>
    <mergeCell ref="E72:E73"/>
    <mergeCell ref="F80:F82"/>
    <mergeCell ref="G80:G82"/>
    <mergeCell ref="H80:H82"/>
  </mergeCells>
  <printOptions/>
  <pageMargins left="0.16" right="0.17" top="0.23" bottom="0.19" header="0.22" footer="0.15"/>
  <pageSetup fitToWidth="5" horizontalDpi="600" verticalDpi="600" orientation="landscape" paperSize="9" scale="13" r:id="rId1"/>
</worksheet>
</file>

<file path=xl/worksheets/sheet7.xml><?xml version="1.0" encoding="utf-8"?>
<worksheet xmlns="http://schemas.openxmlformats.org/spreadsheetml/2006/main" xmlns:r="http://schemas.openxmlformats.org/officeDocument/2006/relationships">
  <dimension ref="A1:J33"/>
  <sheetViews>
    <sheetView view="pageBreakPreview" zoomScale="60" workbookViewId="0" topLeftCell="A1">
      <selection activeCell="B4" sqref="B4"/>
    </sheetView>
  </sheetViews>
  <sheetFormatPr defaultColWidth="9.140625" defaultRowHeight="12.75"/>
  <cols>
    <col min="1" max="1" width="14.421875" style="380" customWidth="1"/>
    <col min="2" max="2" width="83.8515625" style="380" customWidth="1"/>
    <col min="3" max="3" width="23.8515625" style="380" customWidth="1"/>
    <col min="4" max="4" width="24.00390625" style="380" customWidth="1"/>
    <col min="5" max="5" width="23.28125" style="380" customWidth="1"/>
    <col min="6" max="6" width="21.7109375" style="380" customWidth="1"/>
    <col min="7" max="7" width="11.57421875" style="380" customWidth="1"/>
    <col min="8" max="8" width="9.140625" style="380" customWidth="1"/>
    <col min="9" max="9" width="9.140625" style="381" customWidth="1"/>
    <col min="10" max="16384" width="9.140625" style="380" customWidth="1"/>
  </cols>
  <sheetData>
    <row r="1" ht="21">
      <c r="E1" s="110" t="s">
        <v>36</v>
      </c>
    </row>
    <row r="2" ht="21">
      <c r="E2" s="110" t="s">
        <v>143</v>
      </c>
    </row>
    <row r="3" ht="21">
      <c r="E3" s="110" t="s">
        <v>754</v>
      </c>
    </row>
    <row r="4" ht="21">
      <c r="E4" s="110" t="s">
        <v>578</v>
      </c>
    </row>
    <row r="5" spans="5:6" ht="21">
      <c r="E5" s="708" t="s">
        <v>113</v>
      </c>
      <c r="F5" s="99"/>
    </row>
    <row r="7" spans="1:10" ht="21">
      <c r="A7" s="680" t="s">
        <v>37</v>
      </c>
      <c r="B7" s="681"/>
      <c r="C7" s="681"/>
      <c r="D7" s="682"/>
      <c r="E7" s="682"/>
      <c r="F7" s="682"/>
      <c r="G7" s="110"/>
      <c r="H7" s="110"/>
      <c r="I7" s="383"/>
      <c r="J7" s="110"/>
    </row>
    <row r="8" spans="1:10" ht="21">
      <c r="A8" s="382"/>
      <c r="B8" s="384"/>
      <c r="C8" s="384"/>
      <c r="D8" s="110"/>
      <c r="E8" s="110"/>
      <c r="F8" s="110"/>
      <c r="G8" s="110"/>
      <c r="H8" s="110"/>
      <c r="I8" s="383"/>
      <c r="J8" s="110"/>
    </row>
    <row r="9" spans="1:10" ht="21">
      <c r="A9" s="110"/>
      <c r="B9" s="110"/>
      <c r="D9" s="110"/>
      <c r="E9" s="110"/>
      <c r="F9" s="385" t="s">
        <v>523</v>
      </c>
      <c r="G9" s="110"/>
      <c r="H9" s="110"/>
      <c r="I9" s="383"/>
      <c r="J9" s="110"/>
    </row>
    <row r="10" spans="1:10" ht="21">
      <c r="A10" s="683" t="s">
        <v>38</v>
      </c>
      <c r="B10" s="683" t="s">
        <v>39</v>
      </c>
      <c r="C10" s="683" t="s">
        <v>152</v>
      </c>
      <c r="D10" s="684" t="s">
        <v>154</v>
      </c>
      <c r="E10" s="684"/>
      <c r="F10" s="683" t="s">
        <v>495</v>
      </c>
      <c r="G10" s="110"/>
      <c r="H10" s="110"/>
      <c r="I10" s="383"/>
      <c r="J10" s="110"/>
    </row>
    <row r="11" spans="1:10" ht="41.25">
      <c r="A11" s="683"/>
      <c r="B11" s="683"/>
      <c r="C11" s="683"/>
      <c r="D11" s="386" t="s">
        <v>495</v>
      </c>
      <c r="E11" s="387" t="s">
        <v>40</v>
      </c>
      <c r="F11" s="683"/>
      <c r="G11" s="110"/>
      <c r="H11" s="110"/>
      <c r="I11" s="383"/>
      <c r="J11" s="110"/>
    </row>
    <row r="12" spans="1:10" ht="21">
      <c r="A12" s="386">
        <v>1</v>
      </c>
      <c r="B12" s="386">
        <v>2</v>
      </c>
      <c r="C12" s="386">
        <v>3</v>
      </c>
      <c r="D12" s="386">
        <v>4</v>
      </c>
      <c r="E12" s="386">
        <v>5</v>
      </c>
      <c r="F12" s="386">
        <v>6</v>
      </c>
      <c r="G12" s="110"/>
      <c r="H12" s="110"/>
      <c r="I12" s="383"/>
      <c r="J12" s="110"/>
    </row>
    <row r="13" spans="1:10" ht="21">
      <c r="A13" s="388"/>
      <c r="B13" s="389" t="s">
        <v>41</v>
      </c>
      <c r="C13" s="386"/>
      <c r="D13" s="390"/>
      <c r="E13" s="390"/>
      <c r="F13" s="390"/>
      <c r="G13" s="110"/>
      <c r="H13" s="110"/>
      <c r="I13" s="383"/>
      <c r="J13" s="110"/>
    </row>
    <row r="14" spans="1:10" ht="27" customHeight="1">
      <c r="A14" s="388">
        <v>200000</v>
      </c>
      <c r="B14" s="391" t="s">
        <v>42</v>
      </c>
      <c r="C14" s="392">
        <f>SUM(C15)</f>
        <v>-56062397</v>
      </c>
      <c r="D14" s="392">
        <f>SUM(D15)</f>
        <v>170553523</v>
      </c>
      <c r="E14" s="392">
        <f>SUM(E15)</f>
        <v>150357626</v>
      </c>
      <c r="F14" s="392">
        <f>SUM(C14+D14)</f>
        <v>114491126</v>
      </c>
      <c r="G14" s="110"/>
      <c r="H14" s="110"/>
      <c r="I14" s="383"/>
      <c r="J14" s="110"/>
    </row>
    <row r="15" spans="1:10" ht="40.5" customHeight="1">
      <c r="A15" s="393">
        <v>208000</v>
      </c>
      <c r="B15" s="394" t="s">
        <v>43</v>
      </c>
      <c r="C15" s="392">
        <f>SUM(C16-C17+C18)</f>
        <v>-56062397</v>
      </c>
      <c r="D15" s="392">
        <f>SUM(D16-D17+D18)</f>
        <v>170553523</v>
      </c>
      <c r="E15" s="392">
        <f>SUM(E16-E17+E18)</f>
        <v>150357626</v>
      </c>
      <c r="F15" s="392">
        <f>SUM(F16-F17)</f>
        <v>114491126.00000001</v>
      </c>
      <c r="G15" s="110"/>
      <c r="H15" s="110"/>
      <c r="I15" s="383"/>
      <c r="J15" s="110"/>
    </row>
    <row r="16" spans="1:10" ht="27" customHeight="1">
      <c r="A16" s="393">
        <v>208100</v>
      </c>
      <c r="B16" s="395" t="s">
        <v>44</v>
      </c>
      <c r="C16" s="392">
        <v>22763178.42</v>
      </c>
      <c r="D16" s="392">
        <v>141945937</v>
      </c>
      <c r="E16" s="392">
        <v>112272016</v>
      </c>
      <c r="F16" s="392">
        <f aca="true" t="shared" si="0" ref="F16:F26">SUM(C16+D16)</f>
        <v>164709115.42000002</v>
      </c>
      <c r="G16" s="110"/>
      <c r="H16" s="110"/>
      <c r="I16" s="383"/>
      <c r="J16" s="110"/>
    </row>
    <row r="17" spans="1:10" ht="27" customHeight="1">
      <c r="A17" s="393">
        <v>208200</v>
      </c>
      <c r="B17" s="395" t="s">
        <v>45</v>
      </c>
      <c r="C17" s="392">
        <f>C16-9009703</f>
        <v>13753475.420000002</v>
      </c>
      <c r="D17" s="392">
        <f>D16-109469357+3987934</f>
        <v>36464514</v>
      </c>
      <c r="E17" s="392">
        <f>E16-85285526</f>
        <v>26986490</v>
      </c>
      <c r="F17" s="392">
        <f t="shared" si="0"/>
        <v>50217989.42</v>
      </c>
      <c r="G17" s="110"/>
      <c r="H17" s="110"/>
      <c r="I17" s="383"/>
      <c r="J17" s="110"/>
    </row>
    <row r="18" spans="1:10" ht="41.25">
      <c r="A18" s="388">
        <v>208400</v>
      </c>
      <c r="B18" s="395" t="s">
        <v>562</v>
      </c>
      <c r="C18" s="392">
        <f>-48180000-292100-3000000-8000000-5600000</f>
        <v>-65072100</v>
      </c>
      <c r="D18" s="392">
        <f>48180000+292100+3000000+8000000+5600000</f>
        <v>65072100</v>
      </c>
      <c r="E18" s="392">
        <f>48180000+292100+3000000+8000000+5600000</f>
        <v>65072100</v>
      </c>
      <c r="F18" s="392">
        <f t="shared" si="0"/>
        <v>0</v>
      </c>
      <c r="G18" s="110"/>
      <c r="H18" s="110"/>
      <c r="I18" s="383"/>
      <c r="J18" s="110"/>
    </row>
    <row r="19" spans="1:10" ht="26.25" customHeight="1">
      <c r="A19" s="388"/>
      <c r="B19" s="396" t="s">
        <v>563</v>
      </c>
      <c r="C19" s="392">
        <f>SUM(C14)</f>
        <v>-56062397</v>
      </c>
      <c r="D19" s="392">
        <f>SUM(D14)</f>
        <v>170553523</v>
      </c>
      <c r="E19" s="392">
        <f>SUM(E14)</f>
        <v>150357626</v>
      </c>
      <c r="F19" s="392">
        <f t="shared" si="0"/>
        <v>114491126</v>
      </c>
      <c r="G19" s="110"/>
      <c r="H19" s="110"/>
      <c r="I19" s="383"/>
      <c r="J19" s="110"/>
    </row>
    <row r="20" spans="1:10" ht="26.25" customHeight="1">
      <c r="A20" s="388"/>
      <c r="B20" s="389" t="s">
        <v>564</v>
      </c>
      <c r="C20" s="392"/>
      <c r="D20" s="392"/>
      <c r="E20" s="392"/>
      <c r="F20" s="392"/>
      <c r="G20" s="110"/>
      <c r="H20" s="110"/>
      <c r="I20" s="383"/>
      <c r="J20" s="110"/>
    </row>
    <row r="21" spans="1:10" ht="24" customHeight="1">
      <c r="A21" s="388">
        <v>600000</v>
      </c>
      <c r="B21" s="395" t="s">
        <v>303</v>
      </c>
      <c r="C21" s="392">
        <f>SUM(C22)</f>
        <v>-56062397</v>
      </c>
      <c r="D21" s="392">
        <f>SUM(D22)</f>
        <v>170553523</v>
      </c>
      <c r="E21" s="392">
        <f>SUM(E22)</f>
        <v>150357626</v>
      </c>
      <c r="F21" s="392">
        <f>SUM(F22)</f>
        <v>114491126</v>
      </c>
      <c r="G21" s="110"/>
      <c r="H21" s="110"/>
      <c r="I21" s="383"/>
      <c r="J21" s="110"/>
    </row>
    <row r="22" spans="1:10" ht="25.5" customHeight="1">
      <c r="A22" s="393">
        <v>602000</v>
      </c>
      <c r="B22" s="395" t="s">
        <v>304</v>
      </c>
      <c r="C22" s="392">
        <f>C23-C24+C25</f>
        <v>-56062397</v>
      </c>
      <c r="D22" s="392">
        <f>SUM(D23-D24+D25)</f>
        <v>170553523</v>
      </c>
      <c r="E22" s="392">
        <f>SUM(E23-E24+E25)</f>
        <v>150357626</v>
      </c>
      <c r="F22" s="392">
        <f t="shared" si="0"/>
        <v>114491126</v>
      </c>
      <c r="G22" s="110"/>
      <c r="H22" s="110"/>
      <c r="I22" s="383"/>
      <c r="J22" s="110"/>
    </row>
    <row r="23" spans="1:10" ht="24.75" customHeight="1">
      <c r="A23" s="393">
        <v>602100</v>
      </c>
      <c r="B23" s="395" t="s">
        <v>44</v>
      </c>
      <c r="C23" s="392">
        <v>22763178.42</v>
      </c>
      <c r="D23" s="392">
        <v>141945937</v>
      </c>
      <c r="E23" s="392">
        <v>1122720106</v>
      </c>
      <c r="F23" s="392">
        <f t="shared" si="0"/>
        <v>164709115.42000002</v>
      </c>
      <c r="G23" s="110"/>
      <c r="H23" s="110"/>
      <c r="I23" s="383"/>
      <c r="J23" s="110"/>
    </row>
    <row r="24" spans="1:10" ht="27.75" customHeight="1">
      <c r="A24" s="388">
        <v>602200</v>
      </c>
      <c r="B24" s="395" t="s">
        <v>45</v>
      </c>
      <c r="C24" s="392">
        <f>C23-9009703</f>
        <v>13753475.420000002</v>
      </c>
      <c r="D24" s="392">
        <f>D23-109469357+3987934</f>
        <v>36464514</v>
      </c>
      <c r="E24" s="392">
        <f>E23-85285526</f>
        <v>1037434580</v>
      </c>
      <c r="F24" s="392">
        <f t="shared" si="0"/>
        <v>50217989.42</v>
      </c>
      <c r="G24" s="110"/>
      <c r="H24" s="110"/>
      <c r="I24" s="383"/>
      <c r="J24" s="110"/>
    </row>
    <row r="25" spans="1:10" ht="41.25">
      <c r="A25" s="397">
        <v>602400</v>
      </c>
      <c r="B25" s="394" t="s">
        <v>562</v>
      </c>
      <c r="C25" s="392">
        <f>-48180000-292100-3000000-8000000-5600000</f>
        <v>-65072100</v>
      </c>
      <c r="D25" s="392">
        <f>48180000+292100+3000000+8000000+5600000</f>
        <v>65072100</v>
      </c>
      <c r="E25" s="392">
        <f>48180000+292100+3000000+8000000+5600000</f>
        <v>65072100</v>
      </c>
      <c r="F25" s="392">
        <f t="shared" si="0"/>
        <v>0</v>
      </c>
      <c r="G25" s="110"/>
      <c r="H25" s="110"/>
      <c r="I25" s="383"/>
      <c r="J25" s="110"/>
    </row>
    <row r="26" spans="1:10" ht="21">
      <c r="A26" s="388"/>
      <c r="B26" s="396" t="s">
        <v>305</v>
      </c>
      <c r="C26" s="392">
        <f>SUM(C21)</f>
        <v>-56062397</v>
      </c>
      <c r="D26" s="392">
        <f>SUM(D21)</f>
        <v>170553523</v>
      </c>
      <c r="E26" s="392">
        <f>SUM(E21)</f>
        <v>150357626</v>
      </c>
      <c r="F26" s="392">
        <f t="shared" si="0"/>
        <v>114491126</v>
      </c>
      <c r="G26" s="110"/>
      <c r="H26" s="110"/>
      <c r="I26" s="383"/>
      <c r="J26" s="110"/>
    </row>
    <row r="27" spans="1:10" ht="21">
      <c r="A27" s="110"/>
      <c r="B27" s="110"/>
      <c r="C27" s="110"/>
      <c r="D27" s="110"/>
      <c r="E27" s="110"/>
      <c r="F27" s="110"/>
      <c r="G27" s="110"/>
      <c r="H27" s="110"/>
      <c r="I27" s="383"/>
      <c r="J27" s="110"/>
    </row>
    <row r="28" spans="1:10" ht="21">
      <c r="A28" s="110"/>
      <c r="B28" s="110"/>
      <c r="C28" s="110"/>
      <c r="D28" s="110"/>
      <c r="E28" s="110"/>
      <c r="F28" s="110"/>
      <c r="G28" s="110"/>
      <c r="H28" s="110"/>
      <c r="I28" s="383"/>
      <c r="J28" s="110"/>
    </row>
    <row r="29" spans="1:10" ht="33">
      <c r="A29" s="398"/>
      <c r="B29" s="399"/>
      <c r="C29" s="400"/>
      <c r="D29" s="400"/>
      <c r="E29" s="110"/>
      <c r="F29" s="110"/>
      <c r="G29" s="110"/>
      <c r="H29" s="110"/>
      <c r="I29" s="383"/>
      <c r="J29" s="110"/>
    </row>
    <row r="30" spans="1:10" ht="26.25">
      <c r="A30" s="401"/>
      <c r="B30" s="401"/>
      <c r="C30" s="110"/>
      <c r="D30" s="110"/>
      <c r="E30" s="401"/>
      <c r="F30" s="110"/>
      <c r="G30" s="110"/>
      <c r="H30" s="110"/>
      <c r="I30" s="383"/>
      <c r="J30" s="110"/>
    </row>
    <row r="31" spans="1:10" ht="21">
      <c r="A31" s="110"/>
      <c r="B31" s="110"/>
      <c r="C31" s="110"/>
      <c r="D31" s="110"/>
      <c r="E31" s="110"/>
      <c r="F31" s="110"/>
      <c r="G31" s="110"/>
      <c r="H31" s="110"/>
      <c r="I31" s="383"/>
      <c r="J31" s="110"/>
    </row>
    <row r="32" spans="1:10" ht="21">
      <c r="A32" s="110"/>
      <c r="B32" s="110"/>
      <c r="C32" s="110"/>
      <c r="D32" s="110"/>
      <c r="E32" s="110"/>
      <c r="F32" s="110"/>
      <c r="G32" s="110"/>
      <c r="H32" s="110"/>
      <c r="I32" s="383"/>
      <c r="J32" s="110"/>
    </row>
    <row r="33" spans="1:10" ht="21">
      <c r="A33" s="110"/>
      <c r="B33" s="110"/>
      <c r="C33" s="110"/>
      <c r="D33" s="110"/>
      <c r="E33" s="110"/>
      <c r="F33" s="110"/>
      <c r="G33" s="110"/>
      <c r="H33" s="110"/>
      <c r="I33" s="383"/>
      <c r="J33" s="110"/>
    </row>
  </sheetData>
  <mergeCells count="6">
    <mergeCell ref="A7:F7"/>
    <mergeCell ref="A10:A11"/>
    <mergeCell ref="B10:B11"/>
    <mergeCell ref="C10:C11"/>
    <mergeCell ref="D10:E10"/>
    <mergeCell ref="F10:F11"/>
  </mergeCells>
  <printOptions/>
  <pageMargins left="0.75" right="0.75" top="1" bottom="1" header="0.5" footer="0.5"/>
  <pageSetup horizontalDpi="600" verticalDpi="600" orientation="landscape" paperSize="9" scale="58" r:id="rId1"/>
</worksheet>
</file>

<file path=xl/worksheets/sheet8.xml><?xml version="1.0" encoding="utf-8"?>
<worksheet xmlns="http://schemas.openxmlformats.org/spreadsheetml/2006/main" xmlns:r="http://schemas.openxmlformats.org/officeDocument/2006/relationships">
  <dimension ref="A1:H186"/>
  <sheetViews>
    <sheetView view="pageBreakPreview" zoomScale="60" workbookViewId="0" topLeftCell="A1">
      <selection activeCell="G154" sqref="G154"/>
    </sheetView>
  </sheetViews>
  <sheetFormatPr defaultColWidth="9.140625" defaultRowHeight="12.75"/>
  <cols>
    <col min="1" max="1" width="23.7109375" style="107" customWidth="1"/>
    <col min="2" max="2" width="70.8515625" style="107" customWidth="1"/>
    <col min="3" max="3" width="63.57421875" style="107" customWidth="1"/>
    <col min="4" max="4" width="27.7109375" style="109" customWidth="1"/>
    <col min="5" max="5" width="24.57421875" style="107" customWidth="1"/>
    <col min="6" max="6" width="35.28125" style="107" customWidth="1"/>
    <col min="7" max="7" width="33.00390625" style="189" customWidth="1"/>
    <col min="8" max="8" width="18.421875" style="107" bestFit="1" customWidth="1"/>
    <col min="9" max="16384" width="9.140625" style="107" customWidth="1"/>
  </cols>
  <sheetData>
    <row r="1" spans="2:7" ht="21">
      <c r="B1" s="108"/>
      <c r="E1" s="110" t="s">
        <v>753</v>
      </c>
      <c r="F1" s="111"/>
      <c r="G1" s="109"/>
    </row>
    <row r="2" spans="2:7" ht="21">
      <c r="B2" s="108"/>
      <c r="E2" s="110" t="s">
        <v>143</v>
      </c>
      <c r="F2" s="111"/>
      <c r="G2" s="109"/>
    </row>
    <row r="3" spans="2:7" ht="21">
      <c r="B3" s="108"/>
      <c r="C3" s="108"/>
      <c r="D3" s="112"/>
      <c r="E3" s="110" t="s">
        <v>754</v>
      </c>
      <c r="F3" s="108"/>
      <c r="G3" s="109"/>
    </row>
    <row r="4" spans="2:7" ht="21">
      <c r="B4" s="108"/>
      <c r="C4" s="108"/>
      <c r="D4" s="112"/>
      <c r="E4" s="110" t="s">
        <v>578</v>
      </c>
      <c r="F4" s="108"/>
      <c r="G4" s="109"/>
    </row>
    <row r="5" spans="2:7" ht="21">
      <c r="B5" s="108"/>
      <c r="C5" s="108"/>
      <c r="D5" s="112"/>
      <c r="E5" s="708" t="s">
        <v>112</v>
      </c>
      <c r="F5" s="99"/>
      <c r="G5" s="109"/>
    </row>
    <row r="6" spans="1:7" ht="21" customHeight="1">
      <c r="A6" s="685" t="s">
        <v>755</v>
      </c>
      <c r="B6" s="685"/>
      <c r="C6" s="685"/>
      <c r="D6" s="685"/>
      <c r="E6" s="685"/>
      <c r="F6" s="685"/>
      <c r="G6" s="685"/>
    </row>
    <row r="7" spans="1:7" ht="29.25" customHeight="1">
      <c r="A7" s="686" t="s">
        <v>389</v>
      </c>
      <c r="B7" s="686"/>
      <c r="C7" s="686"/>
      <c r="D7" s="686"/>
      <c r="E7" s="686"/>
      <c r="F7" s="686"/>
      <c r="G7" s="686"/>
    </row>
    <row r="8" spans="1:7" ht="22.5" customHeight="1">
      <c r="A8" s="114"/>
      <c r="C8" s="115"/>
      <c r="D8" s="116"/>
      <c r="G8" s="117" t="s">
        <v>390</v>
      </c>
    </row>
    <row r="9" spans="1:7" ht="154.5" customHeight="1">
      <c r="A9" s="118" t="s">
        <v>391</v>
      </c>
      <c r="B9" s="119" t="s">
        <v>392</v>
      </c>
      <c r="C9" s="687" t="s">
        <v>393</v>
      </c>
      <c r="D9" s="688" t="s">
        <v>394</v>
      </c>
      <c r="E9" s="687" t="s">
        <v>395</v>
      </c>
      <c r="F9" s="687" t="s">
        <v>396</v>
      </c>
      <c r="G9" s="688" t="s">
        <v>397</v>
      </c>
    </row>
    <row r="10" spans="1:7" ht="122.25" customHeight="1">
      <c r="A10" s="120" t="s">
        <v>588</v>
      </c>
      <c r="B10" s="119" t="s">
        <v>398</v>
      </c>
      <c r="C10" s="687"/>
      <c r="D10" s="688"/>
      <c r="E10" s="687"/>
      <c r="F10" s="687"/>
      <c r="G10" s="688"/>
    </row>
    <row r="11" spans="1:7" ht="20.25" thickBot="1">
      <c r="A11" s="121">
        <v>1</v>
      </c>
      <c r="B11" s="122">
        <v>2</v>
      </c>
      <c r="C11" s="123">
        <v>3</v>
      </c>
      <c r="D11" s="124">
        <v>4</v>
      </c>
      <c r="E11" s="123">
        <v>5</v>
      </c>
      <c r="F11" s="124">
        <v>6</v>
      </c>
      <c r="G11" s="123">
        <v>7</v>
      </c>
    </row>
    <row r="12" spans="1:7" s="129" customFormat="1" ht="65.25" customHeight="1" thickBot="1">
      <c r="A12" s="125">
        <v>47</v>
      </c>
      <c r="B12" s="126" t="s">
        <v>134</v>
      </c>
      <c r="C12" s="127"/>
      <c r="D12" s="128">
        <f>SUM(D13:D40)</f>
        <v>377535866</v>
      </c>
      <c r="E12" s="128"/>
      <c r="F12" s="128">
        <f>SUM(F13:F40)</f>
        <v>260826889.81</v>
      </c>
      <c r="G12" s="128">
        <f>SUM(G13:G40)</f>
        <v>170878535</v>
      </c>
    </row>
    <row r="13" spans="1:7" s="134" customFormat="1" ht="101.25" customHeight="1">
      <c r="A13" s="130">
        <v>150101</v>
      </c>
      <c r="B13" s="131" t="s">
        <v>572</v>
      </c>
      <c r="C13" s="132" t="s">
        <v>399</v>
      </c>
      <c r="D13" s="133">
        <v>28344960</v>
      </c>
      <c r="E13" s="133">
        <f>(D13-F13)/D13*100</f>
        <v>6.959191334191334</v>
      </c>
      <c r="F13" s="133">
        <v>26372380</v>
      </c>
      <c r="G13" s="133">
        <v>26009860</v>
      </c>
    </row>
    <row r="14" spans="1:7" s="134" customFormat="1" ht="101.25" customHeight="1">
      <c r="A14" s="130">
        <v>150101</v>
      </c>
      <c r="B14" s="131" t="s">
        <v>572</v>
      </c>
      <c r="C14" s="132" t="s">
        <v>1</v>
      </c>
      <c r="D14" s="136">
        <v>27513700</v>
      </c>
      <c r="E14" s="133">
        <v>6.6</v>
      </c>
      <c r="F14" s="137">
        <v>25687000</v>
      </c>
      <c r="G14" s="133">
        <v>9000000</v>
      </c>
    </row>
    <row r="15" spans="1:7" s="134" customFormat="1" ht="113.25" customHeight="1">
      <c r="A15" s="130">
        <v>150101</v>
      </c>
      <c r="B15" s="135" t="s">
        <v>572</v>
      </c>
      <c r="C15" s="132" t="s">
        <v>400</v>
      </c>
      <c r="D15" s="136">
        <v>74096580</v>
      </c>
      <c r="E15" s="133">
        <f>(D15-F15)/D15*100</f>
        <v>52.42447087301465</v>
      </c>
      <c r="F15" s="137">
        <v>35251840</v>
      </c>
      <c r="G15" s="133">
        <f>34307160-459400-8730000</f>
        <v>25117760</v>
      </c>
    </row>
    <row r="16" spans="1:7" s="134" customFormat="1" ht="54" customHeight="1">
      <c r="A16" s="138">
        <v>150101</v>
      </c>
      <c r="B16" s="135" t="s">
        <v>572</v>
      </c>
      <c r="C16" s="132" t="s">
        <v>401</v>
      </c>
      <c r="D16" s="133">
        <v>14232900</v>
      </c>
      <c r="E16" s="133">
        <f>(D16-F16)/D16*100</f>
        <v>58.04832465625417</v>
      </c>
      <c r="F16" s="139">
        <v>5970940</v>
      </c>
      <c r="G16" s="133">
        <v>5970940</v>
      </c>
    </row>
    <row r="17" spans="1:7" s="134" customFormat="1" ht="54" customHeight="1">
      <c r="A17" s="138">
        <v>150101</v>
      </c>
      <c r="B17" s="135" t="s">
        <v>572</v>
      </c>
      <c r="C17" s="132" t="s">
        <v>402</v>
      </c>
      <c r="D17" s="133">
        <v>8721000</v>
      </c>
      <c r="E17" s="133">
        <f>(D17-F17)/D17*100</f>
        <v>94.73225547528953</v>
      </c>
      <c r="F17" s="139">
        <v>459400</v>
      </c>
      <c r="G17" s="133">
        <v>459400</v>
      </c>
    </row>
    <row r="18" spans="1:7" s="134" customFormat="1" ht="58.5" customHeight="1">
      <c r="A18" s="138">
        <v>150101</v>
      </c>
      <c r="B18" s="135" t="s">
        <v>572</v>
      </c>
      <c r="C18" s="132" t="s">
        <v>403</v>
      </c>
      <c r="D18" s="133">
        <v>52827060</v>
      </c>
      <c r="E18" s="133"/>
      <c r="F18" s="139">
        <v>52827060</v>
      </c>
      <c r="G18" s="133">
        <v>1330000</v>
      </c>
    </row>
    <row r="19" spans="1:7" s="134" customFormat="1" ht="75.75" customHeight="1">
      <c r="A19" s="138">
        <v>150101</v>
      </c>
      <c r="B19" s="135" t="s">
        <v>572</v>
      </c>
      <c r="C19" s="132" t="s">
        <v>404</v>
      </c>
      <c r="D19" s="133">
        <v>2902440</v>
      </c>
      <c r="E19" s="133"/>
      <c r="F19" s="139">
        <v>2899400</v>
      </c>
      <c r="G19" s="133">
        <v>1026000</v>
      </c>
    </row>
    <row r="20" spans="1:7" s="134" customFormat="1" ht="126.75" customHeight="1">
      <c r="A20" s="138">
        <v>150101</v>
      </c>
      <c r="B20" s="135" t="s">
        <v>572</v>
      </c>
      <c r="C20" s="132" t="s">
        <v>758</v>
      </c>
      <c r="D20" s="133">
        <v>8809920</v>
      </c>
      <c r="E20" s="133"/>
      <c r="F20" s="139">
        <v>8809920</v>
      </c>
      <c r="G20" s="133">
        <v>608000</v>
      </c>
    </row>
    <row r="21" spans="1:7" s="134" customFormat="1" ht="129.75" customHeight="1">
      <c r="A21" s="138">
        <v>150101</v>
      </c>
      <c r="B21" s="135" t="s">
        <v>572</v>
      </c>
      <c r="C21" s="132" t="s">
        <v>619</v>
      </c>
      <c r="D21" s="133">
        <v>36484500</v>
      </c>
      <c r="E21" s="133">
        <f>(D21-F21)/D21*100</f>
        <v>94.04760925872631</v>
      </c>
      <c r="F21" s="139">
        <v>2171700</v>
      </c>
      <c r="G21" s="133">
        <v>2171700</v>
      </c>
    </row>
    <row r="22" spans="1:7" s="134" customFormat="1" ht="131.25" customHeight="1">
      <c r="A22" s="138">
        <v>150101</v>
      </c>
      <c r="B22" s="135" t="s">
        <v>572</v>
      </c>
      <c r="C22" s="132" t="s">
        <v>620</v>
      </c>
      <c r="D22" s="133">
        <v>6825400</v>
      </c>
      <c r="E22" s="133">
        <f>(D22-F22)/D22*100</f>
        <v>0</v>
      </c>
      <c r="F22" s="139">
        <v>6825400</v>
      </c>
      <c r="G22" s="133">
        <v>6825400</v>
      </c>
    </row>
    <row r="23" spans="1:7" s="134" customFormat="1" ht="48" customHeight="1">
      <c r="A23" s="138">
        <v>150101</v>
      </c>
      <c r="B23" s="135" t="s">
        <v>572</v>
      </c>
      <c r="C23" s="132" t="s">
        <v>621</v>
      </c>
      <c r="D23" s="133">
        <v>4636000</v>
      </c>
      <c r="E23" s="133">
        <f>(D23-F23)/D23*100</f>
        <v>30.434426229508198</v>
      </c>
      <c r="F23" s="139">
        <v>3225060</v>
      </c>
      <c r="G23" s="133">
        <v>3225060</v>
      </c>
    </row>
    <row r="24" spans="1:7" s="134" customFormat="1" ht="46.5" customHeight="1">
      <c r="A24" s="138">
        <v>150101</v>
      </c>
      <c r="B24" s="135" t="s">
        <v>572</v>
      </c>
      <c r="C24" s="132" t="s">
        <v>622</v>
      </c>
      <c r="D24" s="133">
        <v>449920</v>
      </c>
      <c r="E24" s="133"/>
      <c r="F24" s="139">
        <v>449920</v>
      </c>
      <c r="G24" s="133">
        <v>449920</v>
      </c>
    </row>
    <row r="25" spans="1:7" s="134" customFormat="1" ht="108.75" customHeight="1">
      <c r="A25" s="138">
        <v>150101</v>
      </c>
      <c r="B25" s="135" t="s">
        <v>572</v>
      </c>
      <c r="C25" s="132" t="s">
        <v>623</v>
      </c>
      <c r="D25" s="133">
        <v>2434926</v>
      </c>
      <c r="E25" s="133"/>
      <c r="F25" s="139">
        <v>2434926</v>
      </c>
      <c r="G25" s="133">
        <v>2434926</v>
      </c>
    </row>
    <row r="26" spans="1:7" s="134" customFormat="1" ht="113.25" customHeight="1">
      <c r="A26" s="138">
        <v>150101</v>
      </c>
      <c r="B26" s="135" t="s">
        <v>572</v>
      </c>
      <c r="C26" s="132" t="s">
        <v>624</v>
      </c>
      <c r="D26" s="140"/>
      <c r="E26" s="140"/>
      <c r="F26" s="140">
        <v>362360.06</v>
      </c>
      <c r="G26" s="140">
        <v>362360</v>
      </c>
    </row>
    <row r="27" spans="1:7" s="134" customFormat="1" ht="143.25" customHeight="1">
      <c r="A27" s="138">
        <v>150101</v>
      </c>
      <c r="B27" s="135" t="s">
        <v>572</v>
      </c>
      <c r="C27" s="132" t="s">
        <v>625</v>
      </c>
      <c r="D27" s="140"/>
      <c r="E27" s="140"/>
      <c r="F27" s="140">
        <v>944633.3</v>
      </c>
      <c r="G27" s="140">
        <v>944634</v>
      </c>
    </row>
    <row r="28" spans="1:7" s="134" customFormat="1" ht="86.25" customHeight="1">
      <c r="A28" s="138">
        <v>150101</v>
      </c>
      <c r="B28" s="135" t="s">
        <v>572</v>
      </c>
      <c r="C28" s="132" t="s">
        <v>626</v>
      </c>
      <c r="D28" s="141"/>
      <c r="E28" s="141"/>
      <c r="F28" s="140">
        <v>84501.32</v>
      </c>
      <c r="G28" s="140">
        <v>84501</v>
      </c>
    </row>
    <row r="29" spans="1:7" s="134" customFormat="1" ht="74.25" customHeight="1">
      <c r="A29" s="138">
        <v>150101</v>
      </c>
      <c r="B29" s="135" t="s">
        <v>572</v>
      </c>
      <c r="C29" s="132" t="s">
        <v>627</v>
      </c>
      <c r="D29" s="141">
        <v>1782580</v>
      </c>
      <c r="E29" s="133">
        <f>(D29-F29)/D29*100</f>
        <v>9.18780643785973</v>
      </c>
      <c r="F29" s="140">
        <v>1618800</v>
      </c>
      <c r="G29" s="140">
        <v>1618800</v>
      </c>
    </row>
    <row r="30" spans="1:7" s="134" customFormat="1" ht="65.25" customHeight="1">
      <c r="A30" s="138">
        <v>150101</v>
      </c>
      <c r="B30" s="135" t="s">
        <v>572</v>
      </c>
      <c r="C30" s="132" t="s">
        <v>628</v>
      </c>
      <c r="D30" s="141">
        <v>3700060</v>
      </c>
      <c r="E30" s="133">
        <f>(D30-F30)/D30*100</f>
        <v>84.8926774160419</v>
      </c>
      <c r="F30" s="140">
        <v>558980</v>
      </c>
      <c r="G30" s="140">
        <v>558980</v>
      </c>
    </row>
    <row r="31" spans="1:7" s="134" customFormat="1" ht="101.25" customHeight="1">
      <c r="A31" s="138">
        <v>150101</v>
      </c>
      <c r="B31" s="135" t="s">
        <v>572</v>
      </c>
      <c r="C31" s="132" t="s">
        <v>629</v>
      </c>
      <c r="D31" s="141"/>
      <c r="E31" s="141"/>
      <c r="F31" s="140">
        <v>2849578.2</v>
      </c>
      <c r="G31" s="140">
        <v>2849578</v>
      </c>
    </row>
    <row r="32" spans="1:7" s="134" customFormat="1" ht="101.25" customHeight="1">
      <c r="A32" s="138">
        <v>150101</v>
      </c>
      <c r="B32" s="135" t="s">
        <v>572</v>
      </c>
      <c r="C32" s="132" t="s">
        <v>630</v>
      </c>
      <c r="D32" s="141">
        <v>11056400</v>
      </c>
      <c r="E32" s="133">
        <f>(D32-F32)/D32*100</f>
        <v>18.909409934517566</v>
      </c>
      <c r="F32" s="140">
        <v>8965700</v>
      </c>
      <c r="G32" s="140">
        <v>8965700</v>
      </c>
    </row>
    <row r="33" spans="1:7" s="134" customFormat="1" ht="75.75" customHeight="1">
      <c r="A33" s="138">
        <v>150101</v>
      </c>
      <c r="B33" s="135" t="s">
        <v>572</v>
      </c>
      <c r="C33" s="132" t="s">
        <v>631</v>
      </c>
      <c r="D33" s="141">
        <v>20399160</v>
      </c>
      <c r="E33" s="133">
        <f>(D33-F33)/D33*100</f>
        <v>97.20576729630044</v>
      </c>
      <c r="F33" s="140">
        <v>570000</v>
      </c>
      <c r="G33" s="140">
        <v>570000</v>
      </c>
    </row>
    <row r="34" spans="1:7" s="134" customFormat="1" ht="54.75" customHeight="1">
      <c r="A34" s="138">
        <v>150101</v>
      </c>
      <c r="B34" s="135" t="s">
        <v>572</v>
      </c>
      <c r="C34" s="132" t="s">
        <v>632</v>
      </c>
      <c r="D34" s="141"/>
      <c r="E34" s="141"/>
      <c r="F34" s="140">
        <v>1411030.93</v>
      </c>
      <c r="G34" s="140">
        <v>1411031</v>
      </c>
    </row>
    <row r="35" spans="1:7" s="134" customFormat="1" ht="80.25" customHeight="1">
      <c r="A35" s="138">
        <v>150101</v>
      </c>
      <c r="B35" s="135" t="s">
        <v>572</v>
      </c>
      <c r="C35" s="132" t="s">
        <v>633</v>
      </c>
      <c r="D35" s="141"/>
      <c r="E35" s="141"/>
      <c r="F35" s="141"/>
      <c r="G35" s="140">
        <v>54785</v>
      </c>
    </row>
    <row r="36" spans="1:7" s="134" customFormat="1" ht="218.25" customHeight="1">
      <c r="A36" s="138">
        <v>150101</v>
      </c>
      <c r="B36" s="135" t="s">
        <v>572</v>
      </c>
      <c r="C36" s="132" t="s">
        <v>460</v>
      </c>
      <c r="D36" s="139">
        <v>4991300</v>
      </c>
      <c r="E36" s="139"/>
      <c r="F36" s="133">
        <v>2749300</v>
      </c>
      <c r="G36" s="133">
        <v>2749300</v>
      </c>
    </row>
    <row r="37" spans="1:7" s="134" customFormat="1" ht="170.25" customHeight="1">
      <c r="A37" s="142">
        <v>250372</v>
      </c>
      <c r="B37" s="132" t="s">
        <v>895</v>
      </c>
      <c r="C37" s="132" t="s">
        <v>901</v>
      </c>
      <c r="D37" s="133">
        <v>52827060</v>
      </c>
      <c r="E37" s="133"/>
      <c r="F37" s="133">
        <v>52827060</v>
      </c>
      <c r="G37" s="133">
        <f>48180000+3000000</f>
        <v>51180000</v>
      </c>
    </row>
    <row r="38" spans="1:7" s="134" customFormat="1" ht="170.25" customHeight="1">
      <c r="A38" s="142">
        <v>150101</v>
      </c>
      <c r="B38" s="135" t="s">
        <v>572</v>
      </c>
      <c r="C38" s="132" t="s">
        <v>2</v>
      </c>
      <c r="D38" s="133">
        <v>4000000</v>
      </c>
      <c r="E38" s="136"/>
      <c r="F38" s="136">
        <v>4000000</v>
      </c>
      <c r="G38" s="136">
        <v>4000000</v>
      </c>
    </row>
    <row r="39" spans="1:7" s="134" customFormat="1" ht="101.25" customHeight="1">
      <c r="A39" s="142">
        <v>150101</v>
      </c>
      <c r="B39" s="135" t="s">
        <v>572</v>
      </c>
      <c r="C39" s="132" t="s">
        <v>462</v>
      </c>
      <c r="D39" s="133"/>
      <c r="E39" s="136"/>
      <c r="F39" s="136"/>
      <c r="G39" s="136">
        <v>399900</v>
      </c>
    </row>
    <row r="40" spans="1:7" s="134" customFormat="1" ht="165.75" customHeight="1">
      <c r="A40" s="142">
        <v>250304</v>
      </c>
      <c r="B40" s="379" t="s">
        <v>565</v>
      </c>
      <c r="C40" s="132" t="s">
        <v>328</v>
      </c>
      <c r="D40" s="133">
        <v>10500000</v>
      </c>
      <c r="E40" s="136"/>
      <c r="F40" s="136">
        <v>10500000</v>
      </c>
      <c r="G40" s="136">
        <v>10500000</v>
      </c>
    </row>
    <row r="41" spans="1:7" s="129" customFormat="1" ht="51.75" customHeight="1" thickBot="1">
      <c r="A41" s="143">
        <v>40</v>
      </c>
      <c r="B41" s="144" t="s">
        <v>694</v>
      </c>
      <c r="C41" s="145"/>
      <c r="D41" s="146">
        <f>SUM(D42:D72)</f>
        <v>63934184.4</v>
      </c>
      <c r="E41" s="146"/>
      <c r="F41" s="146">
        <f>SUM(F42:F72)</f>
        <v>67226552.69</v>
      </c>
      <c r="G41" s="146">
        <f>SUM(G42:G72)</f>
        <v>67481553</v>
      </c>
    </row>
    <row r="42" spans="1:7" ht="45" customHeight="1">
      <c r="A42" s="138">
        <v>150101</v>
      </c>
      <c r="B42" s="135" t="s">
        <v>572</v>
      </c>
      <c r="C42" s="147" t="s">
        <v>902</v>
      </c>
      <c r="D42" s="133">
        <v>15140644</v>
      </c>
      <c r="E42" s="136"/>
      <c r="F42" s="133">
        <v>15140644</v>
      </c>
      <c r="G42" s="133">
        <v>15140644</v>
      </c>
    </row>
    <row r="43" spans="1:7" ht="45" customHeight="1">
      <c r="A43" s="138">
        <v>150101</v>
      </c>
      <c r="B43" s="135" t="s">
        <v>572</v>
      </c>
      <c r="C43" s="132" t="s">
        <v>903</v>
      </c>
      <c r="D43" s="136">
        <v>1520000</v>
      </c>
      <c r="E43" s="136"/>
      <c r="F43" s="133">
        <v>1520000</v>
      </c>
      <c r="G43" s="133">
        <v>1520000</v>
      </c>
    </row>
    <row r="44" spans="1:7" ht="58.5" customHeight="1">
      <c r="A44" s="138">
        <v>150101</v>
      </c>
      <c r="B44" s="135" t="s">
        <v>572</v>
      </c>
      <c r="C44" s="132" t="s">
        <v>904</v>
      </c>
      <c r="D44" s="133">
        <v>1900000</v>
      </c>
      <c r="E44" s="133"/>
      <c r="F44" s="133">
        <v>1900000</v>
      </c>
      <c r="G44" s="133">
        <v>1900000</v>
      </c>
    </row>
    <row r="45" spans="1:7" ht="79.5" customHeight="1">
      <c r="A45" s="138">
        <v>150101</v>
      </c>
      <c r="B45" s="135" t="s">
        <v>572</v>
      </c>
      <c r="C45" s="132" t="s">
        <v>905</v>
      </c>
      <c r="D45" s="133">
        <v>3799620</v>
      </c>
      <c r="E45" s="133"/>
      <c r="F45" s="133">
        <v>3799620</v>
      </c>
      <c r="G45" s="133">
        <v>3799620</v>
      </c>
    </row>
    <row r="46" spans="1:7" ht="94.5" customHeight="1">
      <c r="A46" s="138">
        <v>150101</v>
      </c>
      <c r="B46" s="135" t="s">
        <v>572</v>
      </c>
      <c r="C46" s="132" t="s">
        <v>906</v>
      </c>
      <c r="D46" s="133">
        <v>760000</v>
      </c>
      <c r="E46" s="133"/>
      <c r="F46" s="133">
        <v>760000</v>
      </c>
      <c r="G46" s="133">
        <v>760000</v>
      </c>
    </row>
    <row r="47" spans="1:7" ht="33" customHeight="1">
      <c r="A47" s="138">
        <v>150101</v>
      </c>
      <c r="B47" s="135" t="s">
        <v>572</v>
      </c>
      <c r="C47" s="132" t="s">
        <v>907</v>
      </c>
      <c r="D47" s="133">
        <v>258400</v>
      </c>
      <c r="E47" s="133"/>
      <c r="F47" s="133">
        <v>258400</v>
      </c>
      <c r="G47" s="133">
        <v>258400</v>
      </c>
    </row>
    <row r="48" spans="1:7" ht="65.25" customHeight="1">
      <c r="A48" s="138">
        <v>150101</v>
      </c>
      <c r="B48" s="135" t="s">
        <v>572</v>
      </c>
      <c r="C48" s="132" t="s">
        <v>908</v>
      </c>
      <c r="D48" s="133">
        <v>5700000</v>
      </c>
      <c r="E48" s="133"/>
      <c r="F48" s="133">
        <v>5700000</v>
      </c>
      <c r="G48" s="133">
        <v>5700000</v>
      </c>
    </row>
    <row r="49" spans="1:7" ht="42" customHeight="1">
      <c r="A49" s="138">
        <v>150101</v>
      </c>
      <c r="B49" s="135" t="s">
        <v>572</v>
      </c>
      <c r="C49" s="132" t="s">
        <v>909</v>
      </c>
      <c r="D49" s="133">
        <v>12712056.4</v>
      </c>
      <c r="E49" s="133"/>
      <c r="F49" s="133">
        <v>12712056.4</v>
      </c>
      <c r="G49" s="133">
        <v>12712056</v>
      </c>
    </row>
    <row r="50" spans="1:7" ht="42" customHeight="1">
      <c r="A50" s="138">
        <v>150101</v>
      </c>
      <c r="B50" s="135" t="s">
        <v>572</v>
      </c>
      <c r="C50" s="132" t="s">
        <v>910</v>
      </c>
      <c r="D50" s="133">
        <v>893000</v>
      </c>
      <c r="E50" s="133"/>
      <c r="F50" s="133">
        <v>893000</v>
      </c>
      <c r="G50" s="133">
        <v>893000</v>
      </c>
    </row>
    <row r="51" spans="1:7" ht="72" customHeight="1">
      <c r="A51" s="138">
        <v>150101</v>
      </c>
      <c r="B51" s="135" t="s">
        <v>572</v>
      </c>
      <c r="C51" s="132" t="s">
        <v>911</v>
      </c>
      <c r="D51" s="133">
        <v>1197000</v>
      </c>
      <c r="E51" s="133"/>
      <c r="F51" s="133">
        <v>1197000</v>
      </c>
      <c r="G51" s="133">
        <v>1197000</v>
      </c>
    </row>
    <row r="52" spans="1:7" ht="81" customHeight="1">
      <c r="A52" s="138">
        <v>150101</v>
      </c>
      <c r="B52" s="135" t="s">
        <v>572</v>
      </c>
      <c r="C52" s="132" t="s">
        <v>912</v>
      </c>
      <c r="D52" s="133">
        <v>916484</v>
      </c>
      <c r="E52" s="133"/>
      <c r="F52" s="133">
        <v>916484</v>
      </c>
      <c r="G52" s="133">
        <v>916484</v>
      </c>
    </row>
    <row r="53" spans="1:7" ht="64.5" customHeight="1">
      <c r="A53" s="138">
        <v>150101</v>
      </c>
      <c r="B53" s="135" t="s">
        <v>572</v>
      </c>
      <c r="C53" s="132" t="s">
        <v>913</v>
      </c>
      <c r="D53" s="133">
        <v>380000</v>
      </c>
      <c r="E53" s="133"/>
      <c r="F53" s="133">
        <v>380000</v>
      </c>
      <c r="G53" s="133">
        <v>380000</v>
      </c>
    </row>
    <row r="54" spans="1:7" ht="39.75" customHeight="1">
      <c r="A54" s="138">
        <v>150101</v>
      </c>
      <c r="B54" s="135" t="s">
        <v>572</v>
      </c>
      <c r="C54" s="132" t="s">
        <v>914</v>
      </c>
      <c r="D54" s="133">
        <v>13146480</v>
      </c>
      <c r="E54" s="133"/>
      <c r="F54" s="133">
        <v>13146480</v>
      </c>
      <c r="G54" s="133">
        <v>13146480</v>
      </c>
    </row>
    <row r="55" spans="1:7" ht="50.25" customHeight="1">
      <c r="A55" s="138">
        <v>150101</v>
      </c>
      <c r="B55" s="135" t="s">
        <v>572</v>
      </c>
      <c r="C55" s="132" t="s">
        <v>156</v>
      </c>
      <c r="D55" s="140"/>
      <c r="E55" s="133"/>
      <c r="F55" s="140">
        <v>1727411.18</v>
      </c>
      <c r="G55" s="140">
        <v>1727411</v>
      </c>
    </row>
    <row r="56" spans="1:7" ht="65.25" customHeight="1">
      <c r="A56" s="138">
        <v>150101</v>
      </c>
      <c r="B56" s="135" t="s">
        <v>572</v>
      </c>
      <c r="C56" s="132" t="s">
        <v>157</v>
      </c>
      <c r="D56" s="140"/>
      <c r="E56" s="133"/>
      <c r="F56" s="140">
        <v>63977.03</v>
      </c>
      <c r="G56" s="140">
        <v>63978</v>
      </c>
    </row>
    <row r="57" spans="1:7" ht="38.25" customHeight="1">
      <c r="A57" s="138">
        <v>150101</v>
      </c>
      <c r="B57" s="135" t="s">
        <v>572</v>
      </c>
      <c r="C57" s="132" t="s">
        <v>158</v>
      </c>
      <c r="D57" s="141">
        <v>376200</v>
      </c>
      <c r="E57" s="133"/>
      <c r="F57" s="140">
        <v>376200</v>
      </c>
      <c r="G57" s="140">
        <v>376200</v>
      </c>
    </row>
    <row r="58" spans="1:7" ht="65.25" customHeight="1">
      <c r="A58" s="138">
        <v>150101</v>
      </c>
      <c r="B58" s="135" t="s">
        <v>572</v>
      </c>
      <c r="C58" s="132" t="s">
        <v>159</v>
      </c>
      <c r="D58" s="141">
        <v>503500</v>
      </c>
      <c r="E58" s="133"/>
      <c r="F58" s="140">
        <v>503500</v>
      </c>
      <c r="G58" s="140">
        <v>503500</v>
      </c>
    </row>
    <row r="59" spans="1:7" ht="65.25" customHeight="1">
      <c r="A59" s="138">
        <v>150101</v>
      </c>
      <c r="B59" s="135" t="s">
        <v>572</v>
      </c>
      <c r="C59" s="132" t="s">
        <v>160</v>
      </c>
      <c r="D59" s="141">
        <v>1140000</v>
      </c>
      <c r="E59" s="133"/>
      <c r="F59" s="140">
        <v>1140000</v>
      </c>
      <c r="G59" s="140">
        <v>1140000</v>
      </c>
    </row>
    <row r="60" spans="1:7" ht="65.25" customHeight="1">
      <c r="A60" s="138">
        <v>150101</v>
      </c>
      <c r="B60" s="135" t="s">
        <v>572</v>
      </c>
      <c r="C60" s="132" t="s">
        <v>161</v>
      </c>
      <c r="D60" s="141"/>
      <c r="E60" s="133"/>
      <c r="F60" s="140">
        <v>831281</v>
      </c>
      <c r="G60" s="140">
        <v>831281</v>
      </c>
    </row>
    <row r="61" spans="1:7" ht="45.75" customHeight="1">
      <c r="A61" s="138">
        <v>150101</v>
      </c>
      <c r="B61" s="135" t="s">
        <v>572</v>
      </c>
      <c r="C61" s="132" t="s">
        <v>621</v>
      </c>
      <c r="D61" s="141">
        <v>760000</v>
      </c>
      <c r="E61" s="133"/>
      <c r="F61" s="140">
        <v>760000</v>
      </c>
      <c r="G61" s="140">
        <v>760000</v>
      </c>
    </row>
    <row r="62" spans="1:7" ht="65.25" customHeight="1">
      <c r="A62" s="138">
        <v>150101</v>
      </c>
      <c r="B62" s="135" t="s">
        <v>572</v>
      </c>
      <c r="C62" s="132" t="s">
        <v>162</v>
      </c>
      <c r="D62" s="141"/>
      <c r="E62" s="133"/>
      <c r="F62" s="140">
        <v>122360</v>
      </c>
      <c r="G62" s="140">
        <v>122360</v>
      </c>
    </row>
    <row r="63" spans="1:7" ht="65.25" customHeight="1">
      <c r="A63" s="138">
        <v>150101</v>
      </c>
      <c r="B63" s="135" t="s">
        <v>572</v>
      </c>
      <c r="C63" s="132" t="s">
        <v>163</v>
      </c>
      <c r="D63" s="140"/>
      <c r="E63" s="133"/>
      <c r="F63" s="140">
        <v>189949.08</v>
      </c>
      <c r="G63" s="140">
        <v>189949</v>
      </c>
    </row>
    <row r="64" spans="1:7" ht="65.25" customHeight="1">
      <c r="A64" s="138">
        <v>150101</v>
      </c>
      <c r="B64" s="135" t="s">
        <v>572</v>
      </c>
      <c r="C64" s="132" t="s">
        <v>164</v>
      </c>
      <c r="D64" s="140"/>
      <c r="E64" s="133"/>
      <c r="F64" s="140">
        <v>136344</v>
      </c>
      <c r="G64" s="140">
        <v>136344</v>
      </c>
    </row>
    <row r="65" spans="1:7" ht="65.25" customHeight="1">
      <c r="A65" s="138">
        <v>150101</v>
      </c>
      <c r="B65" s="135" t="s">
        <v>572</v>
      </c>
      <c r="C65" s="132" t="s">
        <v>165</v>
      </c>
      <c r="D65" s="148"/>
      <c r="E65" s="133"/>
      <c r="F65" s="140">
        <v>221046</v>
      </c>
      <c r="G65" s="140">
        <v>221046</v>
      </c>
    </row>
    <row r="66" spans="1:7" ht="86.25" customHeight="1">
      <c r="A66" s="138">
        <v>150101</v>
      </c>
      <c r="B66" s="135" t="s">
        <v>572</v>
      </c>
      <c r="C66" s="147" t="s">
        <v>166</v>
      </c>
      <c r="D66" s="140">
        <v>636300</v>
      </c>
      <c r="E66" s="133"/>
      <c r="F66" s="140">
        <v>636300</v>
      </c>
      <c r="G66" s="149">
        <v>636300</v>
      </c>
    </row>
    <row r="67" spans="1:7" ht="86.25" customHeight="1">
      <c r="A67" s="138">
        <v>150101</v>
      </c>
      <c r="B67" s="135" t="s">
        <v>572</v>
      </c>
      <c r="C67" s="147" t="s">
        <v>167</v>
      </c>
      <c r="D67" s="140">
        <v>665500</v>
      </c>
      <c r="E67" s="133"/>
      <c r="F67" s="140">
        <v>665500</v>
      </c>
      <c r="G67" s="149">
        <v>665500</v>
      </c>
    </row>
    <row r="68" spans="1:7" ht="107.25" customHeight="1">
      <c r="A68" s="138">
        <v>150101</v>
      </c>
      <c r="B68" s="135" t="s">
        <v>572</v>
      </c>
      <c r="C68" s="147" t="s">
        <v>168</v>
      </c>
      <c r="D68" s="140">
        <v>529200</v>
      </c>
      <c r="E68" s="133"/>
      <c r="F68" s="140">
        <v>529200</v>
      </c>
      <c r="G68" s="149">
        <v>529200</v>
      </c>
    </row>
    <row r="69" spans="1:7" ht="89.25" customHeight="1">
      <c r="A69" s="138">
        <v>150101</v>
      </c>
      <c r="B69" s="135" t="s">
        <v>572</v>
      </c>
      <c r="C69" s="147" t="s">
        <v>169</v>
      </c>
      <c r="D69" s="140">
        <v>441000</v>
      </c>
      <c r="E69" s="133"/>
      <c r="F69" s="140">
        <v>441000</v>
      </c>
      <c r="G69" s="149">
        <v>441000</v>
      </c>
    </row>
    <row r="70" spans="1:7" ht="89.25" customHeight="1">
      <c r="A70" s="138">
        <v>150101</v>
      </c>
      <c r="B70" s="135" t="s">
        <v>572</v>
      </c>
      <c r="C70" s="147" t="s">
        <v>170</v>
      </c>
      <c r="D70" s="140">
        <v>330600</v>
      </c>
      <c r="E70" s="133"/>
      <c r="F70" s="140">
        <v>330600</v>
      </c>
      <c r="G70" s="149">
        <v>330600</v>
      </c>
    </row>
    <row r="71" spans="1:7" ht="89.25" customHeight="1">
      <c r="A71" s="138">
        <v>150101</v>
      </c>
      <c r="B71" s="135" t="s">
        <v>572</v>
      </c>
      <c r="C71" s="147" t="s">
        <v>462</v>
      </c>
      <c r="D71" s="140"/>
      <c r="E71" s="133"/>
      <c r="F71" s="140"/>
      <c r="G71" s="149">
        <v>255000</v>
      </c>
    </row>
    <row r="72" spans="1:7" ht="86.25" customHeight="1">
      <c r="A72" s="138">
        <v>150101</v>
      </c>
      <c r="B72" s="135" t="s">
        <v>572</v>
      </c>
      <c r="C72" s="147" t="s">
        <v>171</v>
      </c>
      <c r="D72" s="140">
        <f>328400-100200</f>
        <v>228200</v>
      </c>
      <c r="E72" s="133"/>
      <c r="F72" s="140">
        <f>328400-100200</f>
        <v>228200</v>
      </c>
      <c r="G72" s="149">
        <f>328400-100200</f>
        <v>228200</v>
      </c>
    </row>
    <row r="73" spans="1:7" ht="53.25" customHeight="1" thickBot="1">
      <c r="A73" s="143">
        <v>14</v>
      </c>
      <c r="B73" s="144" t="s">
        <v>581</v>
      </c>
      <c r="C73" s="150"/>
      <c r="D73" s="146">
        <f>SUM(D74:D83)</f>
        <v>10791867.8</v>
      </c>
      <c r="E73" s="146"/>
      <c r="F73" s="146">
        <f>SUM(F74:F83)</f>
        <v>10149192.8</v>
      </c>
      <c r="G73" s="146">
        <f>SUM(G74:G83)</f>
        <v>11335568</v>
      </c>
    </row>
    <row r="74" spans="1:7" ht="49.5" customHeight="1">
      <c r="A74" s="138" t="s">
        <v>172</v>
      </c>
      <c r="B74" s="151" t="s">
        <v>937</v>
      </c>
      <c r="C74" s="132" t="s">
        <v>173</v>
      </c>
      <c r="D74" s="133">
        <v>2339280</v>
      </c>
      <c r="E74" s="133"/>
      <c r="F74" s="139">
        <v>2339280</v>
      </c>
      <c r="G74" s="133">
        <v>2339280</v>
      </c>
    </row>
    <row r="75" spans="1:7" ht="34.5" customHeight="1">
      <c r="A75" s="138">
        <v>150101</v>
      </c>
      <c r="B75" s="135" t="s">
        <v>572</v>
      </c>
      <c r="C75" s="132" t="s">
        <v>174</v>
      </c>
      <c r="D75" s="133">
        <v>547089.8</v>
      </c>
      <c r="E75" s="133"/>
      <c r="F75" s="133">
        <v>547089.8</v>
      </c>
      <c r="G75" s="133">
        <v>547090</v>
      </c>
    </row>
    <row r="76" spans="1:7" ht="90" customHeight="1">
      <c r="A76" s="138">
        <v>150101</v>
      </c>
      <c r="B76" s="135" t="s">
        <v>572</v>
      </c>
      <c r="C76" s="132" t="s">
        <v>601</v>
      </c>
      <c r="D76" s="133">
        <v>379620</v>
      </c>
      <c r="E76" s="133"/>
      <c r="F76" s="139"/>
      <c r="G76" s="133">
        <v>379620</v>
      </c>
    </row>
    <row r="77" spans="1:7" ht="55.5" customHeight="1">
      <c r="A77" s="138">
        <v>150101</v>
      </c>
      <c r="B77" s="135" t="s">
        <v>572</v>
      </c>
      <c r="C77" s="132" t="s">
        <v>602</v>
      </c>
      <c r="D77" s="133">
        <v>152000</v>
      </c>
      <c r="E77" s="133"/>
      <c r="F77" s="139"/>
      <c r="G77" s="133">
        <v>152000</v>
      </c>
    </row>
    <row r="78" spans="1:7" ht="55.5" customHeight="1">
      <c r="A78" s="138">
        <v>150101</v>
      </c>
      <c r="B78" s="135" t="s">
        <v>572</v>
      </c>
      <c r="C78" s="132" t="s">
        <v>603</v>
      </c>
      <c r="D78" s="141">
        <v>785878</v>
      </c>
      <c r="E78" s="133">
        <f>(D78-F78)/D78*100</f>
        <v>3.991586480344277</v>
      </c>
      <c r="F78" s="139">
        <v>754509</v>
      </c>
      <c r="G78" s="133">
        <v>754509</v>
      </c>
    </row>
    <row r="79" spans="1:7" ht="55.5" customHeight="1">
      <c r="A79" s="138">
        <v>150101</v>
      </c>
      <c r="B79" s="135" t="s">
        <v>572</v>
      </c>
      <c r="C79" s="132" t="s">
        <v>604</v>
      </c>
      <c r="D79" s="140">
        <v>988000</v>
      </c>
      <c r="E79" s="133">
        <f>(D79-F79)/D79*100</f>
        <v>8.065384615384616</v>
      </c>
      <c r="F79" s="139">
        <v>908314</v>
      </c>
      <c r="G79" s="133">
        <v>908314</v>
      </c>
    </row>
    <row r="80" spans="1:7" ht="73.5" customHeight="1">
      <c r="A80" s="138">
        <v>150101</v>
      </c>
      <c r="B80" s="135" t="s">
        <v>572</v>
      </c>
      <c r="C80" s="132" t="s">
        <v>605</v>
      </c>
      <c r="D80" s="141"/>
      <c r="E80" s="133"/>
      <c r="F80" s="139"/>
      <c r="G80" s="133">
        <v>31369</v>
      </c>
    </row>
    <row r="81" spans="1:7" ht="75" customHeight="1">
      <c r="A81" s="138">
        <v>150101</v>
      </c>
      <c r="B81" s="135" t="s">
        <v>572</v>
      </c>
      <c r="C81" s="132" t="s">
        <v>606</v>
      </c>
      <c r="D81" s="141"/>
      <c r="E81" s="133"/>
      <c r="F81" s="139"/>
      <c r="G81" s="133">
        <v>79686</v>
      </c>
    </row>
    <row r="82" spans="1:7" ht="109.5" customHeight="1">
      <c r="A82" s="138">
        <v>150101</v>
      </c>
      <c r="B82" s="135" t="s">
        <v>572</v>
      </c>
      <c r="C82" s="132" t="s">
        <v>607</v>
      </c>
      <c r="D82" s="141"/>
      <c r="E82" s="133"/>
      <c r="F82" s="139"/>
      <c r="G82" s="133">
        <v>543700</v>
      </c>
    </row>
    <row r="83" spans="1:7" ht="109.5" customHeight="1">
      <c r="A83" s="138">
        <v>250363</v>
      </c>
      <c r="B83" s="379" t="s">
        <v>3</v>
      </c>
      <c r="C83" s="132" t="s">
        <v>306</v>
      </c>
      <c r="D83" s="141">
        <v>5600000</v>
      </c>
      <c r="E83" s="133"/>
      <c r="F83" s="139">
        <v>5600000</v>
      </c>
      <c r="G83" s="133">
        <v>5600000</v>
      </c>
    </row>
    <row r="84" spans="1:7" ht="48" customHeight="1">
      <c r="A84" s="152">
        <v>48</v>
      </c>
      <c r="B84" s="153" t="s">
        <v>608</v>
      </c>
      <c r="C84" s="154"/>
      <c r="D84" s="128">
        <f>SUM(D85:D94)</f>
        <v>2403366.7800000003</v>
      </c>
      <c r="E84" s="128"/>
      <c r="F84" s="128">
        <f>SUM(F85:F94)</f>
        <v>833324.8</v>
      </c>
      <c r="G84" s="128">
        <f>SUM(G85:G94)</f>
        <v>2972046</v>
      </c>
    </row>
    <row r="85" spans="1:7" ht="57" customHeight="1">
      <c r="A85" s="155" t="s">
        <v>320</v>
      </c>
      <c r="B85" s="135" t="s">
        <v>802</v>
      </c>
      <c r="C85" s="132" t="s">
        <v>13</v>
      </c>
      <c r="D85" s="133">
        <v>671020.99</v>
      </c>
      <c r="E85" s="133">
        <f>(D85-F85)/D85*100</f>
        <v>15.054818180873895</v>
      </c>
      <c r="F85" s="139">
        <v>570000</v>
      </c>
      <c r="G85" s="133">
        <v>570000</v>
      </c>
    </row>
    <row r="86" spans="1:7" ht="69.75" customHeight="1">
      <c r="A86" s="138">
        <v>160101</v>
      </c>
      <c r="B86" s="156" t="s">
        <v>124</v>
      </c>
      <c r="C86" s="132" t="s">
        <v>14</v>
      </c>
      <c r="D86" s="133"/>
      <c r="E86" s="133"/>
      <c r="F86" s="139"/>
      <c r="G86" s="133">
        <v>38000</v>
      </c>
    </row>
    <row r="87" spans="1:7" ht="52.5" customHeight="1">
      <c r="A87" s="157">
        <v>150202</v>
      </c>
      <c r="B87" s="135" t="s">
        <v>802</v>
      </c>
      <c r="C87" s="132" t="s">
        <v>15</v>
      </c>
      <c r="D87" s="133">
        <v>380000</v>
      </c>
      <c r="E87" s="133"/>
      <c r="F87" s="139"/>
      <c r="G87" s="133">
        <v>380000</v>
      </c>
    </row>
    <row r="88" spans="1:7" ht="42" customHeight="1">
      <c r="A88" s="157">
        <v>150202</v>
      </c>
      <c r="B88" s="135" t="s">
        <v>802</v>
      </c>
      <c r="C88" s="132" t="s">
        <v>16</v>
      </c>
      <c r="D88" s="133">
        <v>760000</v>
      </c>
      <c r="E88" s="133"/>
      <c r="F88" s="139"/>
      <c r="G88" s="133">
        <v>760000</v>
      </c>
    </row>
    <row r="89" spans="1:7" ht="115.5" customHeight="1">
      <c r="A89" s="157">
        <v>250500</v>
      </c>
      <c r="B89" s="135" t="s">
        <v>17</v>
      </c>
      <c r="C89" s="158" t="s">
        <v>18</v>
      </c>
      <c r="D89" s="133"/>
      <c r="E89" s="133"/>
      <c r="F89" s="139"/>
      <c r="G89" s="133">
        <v>342000</v>
      </c>
    </row>
    <row r="90" spans="1:7" ht="58.5" customHeight="1">
      <c r="A90" s="157">
        <v>150202</v>
      </c>
      <c r="B90" s="135" t="s">
        <v>802</v>
      </c>
      <c r="C90" s="132" t="s">
        <v>384</v>
      </c>
      <c r="D90" s="141">
        <v>377324.8</v>
      </c>
      <c r="E90" s="133">
        <f>(D90-F90)/D90*100</f>
        <v>30.212697389622946</v>
      </c>
      <c r="F90" s="139">
        <v>263324.8</v>
      </c>
      <c r="G90" s="140">
        <v>263325</v>
      </c>
    </row>
    <row r="91" spans="1:7" ht="64.5" customHeight="1">
      <c r="A91" s="155" t="s">
        <v>320</v>
      </c>
      <c r="B91" s="135" t="s">
        <v>802</v>
      </c>
      <c r="C91" s="132" t="s">
        <v>385</v>
      </c>
      <c r="D91" s="141">
        <v>101020.99</v>
      </c>
      <c r="E91" s="133"/>
      <c r="F91" s="139"/>
      <c r="G91" s="140">
        <v>101021</v>
      </c>
    </row>
    <row r="92" spans="1:7" ht="64.5" customHeight="1">
      <c r="A92" s="138">
        <v>160101</v>
      </c>
      <c r="B92" s="156" t="s">
        <v>124</v>
      </c>
      <c r="C92" s="132" t="s">
        <v>386</v>
      </c>
      <c r="D92" s="141"/>
      <c r="E92" s="133"/>
      <c r="F92" s="139"/>
      <c r="G92" s="140">
        <v>3800</v>
      </c>
    </row>
    <row r="93" spans="1:7" ht="64.5" customHeight="1">
      <c r="A93" s="138">
        <v>150101</v>
      </c>
      <c r="B93" s="135" t="s">
        <v>572</v>
      </c>
      <c r="C93" s="132" t="s">
        <v>462</v>
      </c>
      <c r="D93" s="141"/>
      <c r="E93" s="133"/>
      <c r="F93" s="139"/>
      <c r="G93" s="140">
        <v>399900</v>
      </c>
    </row>
    <row r="94" spans="1:7" ht="64.5" customHeight="1">
      <c r="A94" s="157">
        <v>150202</v>
      </c>
      <c r="B94" s="135" t="s">
        <v>802</v>
      </c>
      <c r="C94" s="132" t="s">
        <v>387</v>
      </c>
      <c r="D94" s="141">
        <v>114000</v>
      </c>
      <c r="E94" s="133"/>
      <c r="F94" s="139"/>
      <c r="G94" s="140">
        <v>114000</v>
      </c>
    </row>
    <row r="95" spans="1:7" ht="51.75" customHeight="1">
      <c r="A95" s="159" t="s">
        <v>388</v>
      </c>
      <c r="B95" s="153" t="s">
        <v>866</v>
      </c>
      <c r="C95" s="154"/>
      <c r="D95" s="160">
        <f>SUM(D96:D114)</f>
        <v>32611188.08</v>
      </c>
      <c r="E95" s="160"/>
      <c r="F95" s="160">
        <f>SUM(F96:F114)</f>
        <v>34411229.08</v>
      </c>
      <c r="G95" s="160">
        <f>SUM(G96:G114)</f>
        <v>15800784</v>
      </c>
    </row>
    <row r="96" spans="1:7" ht="57" customHeight="1">
      <c r="A96" s="138">
        <v>150101</v>
      </c>
      <c r="B96" s="135" t="s">
        <v>572</v>
      </c>
      <c r="C96" s="132" t="s">
        <v>4</v>
      </c>
      <c r="D96" s="133">
        <f>988000+713900+233016</f>
        <v>1934916</v>
      </c>
      <c r="E96" s="133"/>
      <c r="F96" s="133">
        <f>988000+713900+233016</f>
        <v>1934916</v>
      </c>
      <c r="G96" s="133">
        <f>988000+713900+233016</f>
        <v>1934916</v>
      </c>
    </row>
    <row r="97" spans="1:7" ht="45" customHeight="1">
      <c r="A97" s="138">
        <v>150101</v>
      </c>
      <c r="B97" s="135" t="s">
        <v>572</v>
      </c>
      <c r="C97" s="132" t="s">
        <v>867</v>
      </c>
      <c r="D97" s="133">
        <v>114000</v>
      </c>
      <c r="E97" s="133"/>
      <c r="F97" s="133">
        <v>114000</v>
      </c>
      <c r="G97" s="133">
        <v>114000</v>
      </c>
    </row>
    <row r="98" spans="1:7" ht="42.75" customHeight="1">
      <c r="A98" s="138">
        <v>150101</v>
      </c>
      <c r="B98" s="135" t="s">
        <v>572</v>
      </c>
      <c r="C98" s="132" t="s">
        <v>5</v>
      </c>
      <c r="D98" s="133">
        <f>951520+1800041</f>
        <v>2751561</v>
      </c>
      <c r="E98" s="133"/>
      <c r="F98" s="133">
        <f>951520+1800041</f>
        <v>2751561</v>
      </c>
      <c r="G98" s="133">
        <f>951520+1800041</f>
        <v>2751561</v>
      </c>
    </row>
    <row r="99" spans="1:7" ht="44.25" customHeight="1">
      <c r="A99" s="138">
        <v>150101</v>
      </c>
      <c r="B99" s="135" t="s">
        <v>572</v>
      </c>
      <c r="C99" s="132" t="s">
        <v>868</v>
      </c>
      <c r="D99" s="133">
        <v>3420000</v>
      </c>
      <c r="E99" s="133"/>
      <c r="F99" s="133">
        <v>3420000</v>
      </c>
      <c r="G99" s="133">
        <v>3420000</v>
      </c>
    </row>
    <row r="100" spans="1:7" ht="45" customHeight="1">
      <c r="A100" s="138">
        <v>150101</v>
      </c>
      <c r="B100" s="135" t="s">
        <v>572</v>
      </c>
      <c r="C100" s="161" t="s">
        <v>869</v>
      </c>
      <c r="D100" s="133">
        <v>19000000</v>
      </c>
      <c r="E100" s="133"/>
      <c r="F100" s="133">
        <v>19000000</v>
      </c>
      <c r="G100" s="133">
        <v>1900000</v>
      </c>
    </row>
    <row r="101" spans="1:7" ht="50.25" customHeight="1">
      <c r="A101" s="138">
        <v>150101</v>
      </c>
      <c r="B101" s="135" t="s">
        <v>572</v>
      </c>
      <c r="C101" s="162" t="s">
        <v>870</v>
      </c>
      <c r="D101" s="133">
        <v>418000</v>
      </c>
      <c r="E101" s="133"/>
      <c r="F101" s="133">
        <v>418000</v>
      </c>
      <c r="G101" s="133">
        <v>418000</v>
      </c>
    </row>
    <row r="102" spans="1:7" ht="48.75" customHeight="1">
      <c r="A102" s="138">
        <v>150101</v>
      </c>
      <c r="B102" s="135" t="s">
        <v>572</v>
      </c>
      <c r="C102" s="162" t="s">
        <v>871</v>
      </c>
      <c r="D102" s="133">
        <v>51300</v>
      </c>
      <c r="E102" s="133"/>
      <c r="F102" s="133">
        <v>51300</v>
      </c>
      <c r="G102" s="133">
        <v>51300</v>
      </c>
    </row>
    <row r="103" spans="1:7" ht="39.75" customHeight="1">
      <c r="A103" s="138">
        <v>150101</v>
      </c>
      <c r="B103" s="135" t="s">
        <v>572</v>
      </c>
      <c r="C103" s="161" t="s">
        <v>872</v>
      </c>
      <c r="D103" s="133">
        <v>1900000</v>
      </c>
      <c r="E103" s="133"/>
      <c r="F103" s="133">
        <v>1900000</v>
      </c>
      <c r="G103" s="133">
        <f>1900000-30000-54000</f>
        <v>1816000</v>
      </c>
    </row>
    <row r="104" spans="1:7" ht="92.25" customHeight="1">
      <c r="A104" s="138">
        <v>150101</v>
      </c>
      <c r="B104" s="135" t="s">
        <v>572</v>
      </c>
      <c r="C104" s="162" t="s">
        <v>820</v>
      </c>
      <c r="D104" s="133"/>
      <c r="E104" s="133"/>
      <c r="F104" s="133"/>
      <c r="G104" s="133">
        <v>30000</v>
      </c>
    </row>
    <row r="105" spans="1:7" ht="92.25" customHeight="1">
      <c r="A105" s="138">
        <v>150101</v>
      </c>
      <c r="B105" s="135" t="s">
        <v>572</v>
      </c>
      <c r="C105" s="162" t="s">
        <v>806</v>
      </c>
      <c r="D105" s="133"/>
      <c r="E105" s="133"/>
      <c r="F105" s="133"/>
      <c r="G105" s="133">
        <v>54000</v>
      </c>
    </row>
    <row r="106" spans="1:7" ht="88.5" customHeight="1">
      <c r="A106" s="138">
        <v>150101</v>
      </c>
      <c r="B106" s="135" t="s">
        <v>572</v>
      </c>
      <c r="C106" s="162" t="s">
        <v>873</v>
      </c>
      <c r="D106" s="133">
        <v>298680</v>
      </c>
      <c r="E106" s="133"/>
      <c r="F106" s="133">
        <v>298680</v>
      </c>
      <c r="G106" s="133">
        <v>298680</v>
      </c>
    </row>
    <row r="107" spans="1:7" ht="39.75" customHeight="1">
      <c r="A107" s="138">
        <v>150101</v>
      </c>
      <c r="B107" s="135" t="s">
        <v>572</v>
      </c>
      <c r="C107" s="162" t="s">
        <v>874</v>
      </c>
      <c r="D107" s="133">
        <v>57000</v>
      </c>
      <c r="E107" s="133"/>
      <c r="F107" s="133">
        <v>57000</v>
      </c>
      <c r="G107" s="133">
        <v>57000</v>
      </c>
    </row>
    <row r="108" spans="1:7" ht="39.75" customHeight="1">
      <c r="A108" s="138">
        <v>150101</v>
      </c>
      <c r="B108" s="135" t="s">
        <v>572</v>
      </c>
      <c r="C108" s="161" t="s">
        <v>875</v>
      </c>
      <c r="D108" s="133">
        <v>171000</v>
      </c>
      <c r="E108" s="133"/>
      <c r="F108" s="133">
        <v>171000</v>
      </c>
      <c r="G108" s="133">
        <v>171000</v>
      </c>
    </row>
    <row r="109" spans="1:7" ht="51.75" customHeight="1">
      <c r="A109" s="138">
        <v>150101</v>
      </c>
      <c r="B109" s="135" t="s">
        <v>572</v>
      </c>
      <c r="C109" s="132" t="s">
        <v>876</v>
      </c>
      <c r="D109" s="141">
        <v>1098307.08</v>
      </c>
      <c r="E109" s="133"/>
      <c r="F109" s="141">
        <v>1098307.08</v>
      </c>
      <c r="G109" s="140">
        <v>785616</v>
      </c>
    </row>
    <row r="110" spans="1:7" ht="39.75" customHeight="1">
      <c r="A110" s="138">
        <v>150101</v>
      </c>
      <c r="B110" s="135" t="s">
        <v>572</v>
      </c>
      <c r="C110" s="132" t="s">
        <v>877</v>
      </c>
      <c r="D110" s="141">
        <v>434340</v>
      </c>
      <c r="E110" s="133"/>
      <c r="F110" s="141">
        <v>434340</v>
      </c>
      <c r="G110" s="140">
        <v>434340</v>
      </c>
    </row>
    <row r="111" spans="1:7" ht="39.75" customHeight="1">
      <c r="A111" s="138">
        <v>150101</v>
      </c>
      <c r="B111" s="135" t="s">
        <v>572</v>
      </c>
      <c r="C111" s="132" t="s">
        <v>868</v>
      </c>
      <c r="D111" s="141">
        <v>962084</v>
      </c>
      <c r="E111" s="133"/>
      <c r="F111" s="141">
        <v>962084</v>
      </c>
      <c r="G111" s="140">
        <v>962084</v>
      </c>
    </row>
    <row r="112" spans="1:7" ht="39.75" customHeight="1">
      <c r="A112" s="138">
        <v>150101</v>
      </c>
      <c r="B112" s="135" t="s">
        <v>572</v>
      </c>
      <c r="C112" s="132" t="s">
        <v>878</v>
      </c>
      <c r="D112" s="141"/>
      <c r="E112" s="133"/>
      <c r="F112" s="141"/>
      <c r="G112" s="140">
        <v>46100</v>
      </c>
    </row>
    <row r="113" spans="1:7" ht="39.75" customHeight="1">
      <c r="A113" s="138">
        <v>150101</v>
      </c>
      <c r="B113" s="135" t="s">
        <v>572</v>
      </c>
      <c r="C113" s="132" t="s">
        <v>462</v>
      </c>
      <c r="D113" s="141"/>
      <c r="E113" s="133"/>
      <c r="F113" s="141"/>
      <c r="G113" s="140">
        <v>399900</v>
      </c>
    </row>
    <row r="114" spans="1:7" ht="66.75" customHeight="1">
      <c r="A114" s="138">
        <v>150101</v>
      </c>
      <c r="B114" s="135" t="s">
        <v>572</v>
      </c>
      <c r="C114" s="132" t="s">
        <v>879</v>
      </c>
      <c r="D114" s="141"/>
      <c r="E114" s="133"/>
      <c r="F114" s="141">
        <v>1800041</v>
      </c>
      <c r="G114" s="140">
        <v>156287</v>
      </c>
    </row>
    <row r="115" spans="1:7" ht="59.25" customHeight="1">
      <c r="A115" s="152">
        <v>24</v>
      </c>
      <c r="B115" s="153" t="s">
        <v>932</v>
      </c>
      <c r="C115" s="154"/>
      <c r="D115" s="160">
        <f>SUM(D116:D120)</f>
        <v>755440</v>
      </c>
      <c r="E115" s="160"/>
      <c r="F115" s="160">
        <f>SUM(F116:F120)</f>
        <v>1103140</v>
      </c>
      <c r="G115" s="160">
        <f>SUM(G116:G120)</f>
        <v>1503040</v>
      </c>
    </row>
    <row r="116" spans="1:7" ht="42.75" customHeight="1">
      <c r="A116" s="138">
        <v>150101</v>
      </c>
      <c r="B116" s="135" t="s">
        <v>572</v>
      </c>
      <c r="C116" s="132" t="s">
        <v>880</v>
      </c>
      <c r="D116" s="133">
        <v>76000</v>
      </c>
      <c r="E116" s="133"/>
      <c r="F116" s="133">
        <v>76000</v>
      </c>
      <c r="G116" s="133">
        <v>76000</v>
      </c>
    </row>
    <row r="117" spans="1:7" ht="42.75" customHeight="1">
      <c r="A117" s="138">
        <v>150101</v>
      </c>
      <c r="B117" s="135" t="s">
        <v>572</v>
      </c>
      <c r="C117" s="132" t="s">
        <v>881</v>
      </c>
      <c r="D117" s="133">
        <v>565440</v>
      </c>
      <c r="E117" s="133"/>
      <c r="F117" s="133">
        <v>565440</v>
      </c>
      <c r="G117" s="133">
        <v>565440</v>
      </c>
    </row>
    <row r="118" spans="1:7" ht="46.5" customHeight="1">
      <c r="A118" s="138">
        <v>150101</v>
      </c>
      <c r="B118" s="135" t="s">
        <v>572</v>
      </c>
      <c r="C118" s="132" t="s">
        <v>882</v>
      </c>
      <c r="D118" s="133">
        <v>114000</v>
      </c>
      <c r="E118" s="133"/>
      <c r="F118" s="133">
        <v>114000</v>
      </c>
      <c r="G118" s="133">
        <v>114000</v>
      </c>
    </row>
    <row r="119" spans="1:7" ht="46.5" customHeight="1">
      <c r="A119" s="138">
        <v>150101</v>
      </c>
      <c r="B119" s="135" t="s">
        <v>572</v>
      </c>
      <c r="C119" s="132" t="s">
        <v>462</v>
      </c>
      <c r="D119" s="139"/>
      <c r="E119" s="133"/>
      <c r="F119" s="133"/>
      <c r="G119" s="133">
        <v>399900</v>
      </c>
    </row>
    <row r="120" spans="1:7" ht="85.5" customHeight="1">
      <c r="A120" s="163">
        <v>150101</v>
      </c>
      <c r="B120" s="135" t="s">
        <v>572</v>
      </c>
      <c r="C120" s="132" t="s">
        <v>883</v>
      </c>
      <c r="D120" s="141"/>
      <c r="E120" s="133"/>
      <c r="F120" s="140">
        <v>347700</v>
      </c>
      <c r="G120" s="140">
        <v>347700</v>
      </c>
    </row>
    <row r="121" spans="1:7" ht="63" customHeight="1">
      <c r="A121" s="159" t="s">
        <v>884</v>
      </c>
      <c r="B121" s="153" t="s">
        <v>571</v>
      </c>
      <c r="C121" s="154"/>
      <c r="D121" s="160">
        <f>SUM(D122:D125)</f>
        <v>532000</v>
      </c>
      <c r="E121" s="160"/>
      <c r="F121" s="160">
        <f>SUM(F122:F125)</f>
        <v>532000</v>
      </c>
      <c r="G121" s="160">
        <f>SUM(G122:G125)</f>
        <v>912000</v>
      </c>
    </row>
    <row r="122" spans="1:7" ht="37.5" customHeight="1">
      <c r="A122" s="164">
        <v>150101</v>
      </c>
      <c r="B122" s="135" t="s">
        <v>572</v>
      </c>
      <c r="C122" s="165" t="s">
        <v>885</v>
      </c>
      <c r="D122" s="133">
        <v>448400</v>
      </c>
      <c r="E122" s="133"/>
      <c r="F122" s="133">
        <v>448400</v>
      </c>
      <c r="G122" s="133">
        <v>448400</v>
      </c>
    </row>
    <row r="123" spans="1:7" ht="28.5" customHeight="1">
      <c r="A123" s="164">
        <v>150101</v>
      </c>
      <c r="B123" s="135" t="s">
        <v>572</v>
      </c>
      <c r="C123" s="165" t="s">
        <v>886</v>
      </c>
      <c r="D123" s="133">
        <v>30400</v>
      </c>
      <c r="E123" s="133"/>
      <c r="F123" s="133">
        <v>30400</v>
      </c>
      <c r="G123" s="133">
        <v>30400</v>
      </c>
    </row>
    <row r="124" spans="1:7" ht="28.5" customHeight="1">
      <c r="A124" s="138">
        <v>150101</v>
      </c>
      <c r="B124" s="135" t="s">
        <v>572</v>
      </c>
      <c r="C124" s="132" t="s">
        <v>462</v>
      </c>
      <c r="D124" s="133"/>
      <c r="E124" s="133"/>
      <c r="F124" s="133"/>
      <c r="G124" s="133">
        <v>380000</v>
      </c>
    </row>
    <row r="125" spans="1:7" ht="27" customHeight="1">
      <c r="A125" s="164">
        <v>150101</v>
      </c>
      <c r="B125" s="135" t="s">
        <v>572</v>
      </c>
      <c r="C125" s="165" t="s">
        <v>887</v>
      </c>
      <c r="D125" s="133">
        <v>53200</v>
      </c>
      <c r="E125" s="133"/>
      <c r="F125" s="133">
        <v>53200</v>
      </c>
      <c r="G125" s="133">
        <v>53200</v>
      </c>
    </row>
    <row r="126" spans="1:7" ht="64.5" customHeight="1">
      <c r="A126" s="159" t="s">
        <v>888</v>
      </c>
      <c r="B126" s="153" t="s">
        <v>838</v>
      </c>
      <c r="C126" s="166"/>
      <c r="D126" s="160">
        <f>SUM(D127:D132)</f>
        <v>11450400</v>
      </c>
      <c r="E126" s="160"/>
      <c r="F126" s="160">
        <f>SUM(F127:F132)</f>
        <v>11450400</v>
      </c>
      <c r="G126" s="160">
        <f>SUM(G127:G132)</f>
        <v>11850300</v>
      </c>
    </row>
    <row r="127" spans="1:7" ht="53.25" customHeight="1">
      <c r="A127" s="155" t="s">
        <v>321</v>
      </c>
      <c r="B127" s="135" t="s">
        <v>572</v>
      </c>
      <c r="C127" s="132" t="s">
        <v>889</v>
      </c>
      <c r="D127" s="133">
        <v>235600</v>
      </c>
      <c r="E127" s="133"/>
      <c r="F127" s="133">
        <v>235600</v>
      </c>
      <c r="G127" s="133">
        <v>235600</v>
      </c>
    </row>
    <row r="128" spans="1:7" ht="93.75" customHeight="1">
      <c r="A128" s="155" t="s">
        <v>321</v>
      </c>
      <c r="B128" s="135" t="s">
        <v>572</v>
      </c>
      <c r="C128" s="132" t="s">
        <v>890</v>
      </c>
      <c r="D128" s="133">
        <v>98800</v>
      </c>
      <c r="E128" s="133"/>
      <c r="F128" s="133">
        <v>98800</v>
      </c>
      <c r="G128" s="133">
        <v>98800</v>
      </c>
    </row>
    <row r="129" spans="1:7" ht="42.75" customHeight="1">
      <c r="A129" s="155" t="s">
        <v>321</v>
      </c>
      <c r="B129" s="135" t="s">
        <v>572</v>
      </c>
      <c r="C129" s="132" t="s">
        <v>891</v>
      </c>
      <c r="D129" s="133">
        <v>456000</v>
      </c>
      <c r="E129" s="133"/>
      <c r="F129" s="133">
        <v>456000</v>
      </c>
      <c r="G129" s="133">
        <v>456000</v>
      </c>
    </row>
    <row r="130" spans="1:7" ht="42.75" customHeight="1">
      <c r="A130" s="155" t="s">
        <v>321</v>
      </c>
      <c r="B130" s="135" t="s">
        <v>572</v>
      </c>
      <c r="C130" s="132" t="s">
        <v>892</v>
      </c>
      <c r="D130" s="141">
        <v>2660000</v>
      </c>
      <c r="E130" s="133"/>
      <c r="F130" s="141">
        <v>2660000</v>
      </c>
      <c r="G130" s="133">
        <v>2660000</v>
      </c>
    </row>
    <row r="131" spans="1:7" ht="42.75" customHeight="1">
      <c r="A131" s="138">
        <v>150101</v>
      </c>
      <c r="B131" s="135" t="s">
        <v>572</v>
      </c>
      <c r="C131" s="132" t="s">
        <v>462</v>
      </c>
      <c r="D131" s="141"/>
      <c r="E131" s="133"/>
      <c r="F131" s="141"/>
      <c r="G131" s="133">
        <v>399900</v>
      </c>
    </row>
    <row r="132" spans="1:7" ht="234" customHeight="1">
      <c r="A132" s="155" t="s">
        <v>893</v>
      </c>
      <c r="B132" s="162" t="s">
        <v>894</v>
      </c>
      <c r="C132" s="162" t="s">
        <v>461</v>
      </c>
      <c r="D132" s="141">
        <v>8000000</v>
      </c>
      <c r="E132" s="133"/>
      <c r="F132" s="141">
        <v>8000000</v>
      </c>
      <c r="G132" s="133">
        <v>8000000</v>
      </c>
    </row>
    <row r="133" spans="1:7" ht="42.75" customHeight="1">
      <c r="A133" s="159" t="s">
        <v>653</v>
      </c>
      <c r="B133" s="153" t="s">
        <v>595</v>
      </c>
      <c r="C133" s="167"/>
      <c r="D133" s="128">
        <f>SUM(D134)</f>
        <v>237100</v>
      </c>
      <c r="E133" s="128"/>
      <c r="F133" s="128">
        <f>SUM(F134)</f>
        <v>237100</v>
      </c>
      <c r="G133" s="128">
        <f>SUM(G134)</f>
        <v>237100</v>
      </c>
    </row>
    <row r="134" spans="1:7" ht="42.75" customHeight="1">
      <c r="A134" s="155" t="s">
        <v>274</v>
      </c>
      <c r="B134" s="168" t="s">
        <v>497</v>
      </c>
      <c r="C134" s="132" t="s">
        <v>462</v>
      </c>
      <c r="D134" s="133">
        <v>237100</v>
      </c>
      <c r="E134" s="133"/>
      <c r="F134" s="133">
        <v>237100</v>
      </c>
      <c r="G134" s="133">
        <v>237100</v>
      </c>
    </row>
    <row r="135" spans="1:7" ht="51.75" customHeight="1">
      <c r="A135" s="169" t="s">
        <v>463</v>
      </c>
      <c r="B135" s="170" t="s">
        <v>693</v>
      </c>
      <c r="C135" s="171"/>
      <c r="D135" s="160">
        <f>SUM(D136)</f>
        <v>55000</v>
      </c>
      <c r="E135" s="160"/>
      <c r="F135" s="160">
        <f>SUM(F136)</f>
        <v>55000</v>
      </c>
      <c r="G135" s="160">
        <f>SUM(G136:G137)</f>
        <v>271000</v>
      </c>
    </row>
    <row r="136" spans="1:7" ht="42.75" customHeight="1">
      <c r="A136" s="155" t="s">
        <v>274</v>
      </c>
      <c r="B136" s="168" t="s">
        <v>497</v>
      </c>
      <c r="C136" s="132" t="s">
        <v>462</v>
      </c>
      <c r="D136" s="133">
        <v>55000</v>
      </c>
      <c r="E136" s="133"/>
      <c r="F136" s="133">
        <v>55000</v>
      </c>
      <c r="G136" s="133">
        <v>55000</v>
      </c>
    </row>
    <row r="137" spans="1:7" ht="42.75" customHeight="1">
      <c r="A137" s="138">
        <v>150101</v>
      </c>
      <c r="B137" s="135" t="s">
        <v>572</v>
      </c>
      <c r="C137" s="132" t="s">
        <v>462</v>
      </c>
      <c r="D137" s="133"/>
      <c r="E137" s="133"/>
      <c r="F137" s="133"/>
      <c r="G137" s="133">
        <v>216000</v>
      </c>
    </row>
    <row r="138" spans="1:7" ht="42.75" customHeight="1">
      <c r="A138" s="484">
        <v>11</v>
      </c>
      <c r="B138" s="127" t="s">
        <v>146</v>
      </c>
      <c r="C138" s="171"/>
      <c r="D138" s="160"/>
      <c r="E138" s="160"/>
      <c r="F138" s="160"/>
      <c r="G138" s="160">
        <f>SUM(G139)</f>
        <v>279900</v>
      </c>
    </row>
    <row r="139" spans="1:7" ht="42.75" customHeight="1">
      <c r="A139" s="138">
        <v>150101</v>
      </c>
      <c r="B139" s="135" t="s">
        <v>572</v>
      </c>
      <c r="C139" s="132" t="s">
        <v>462</v>
      </c>
      <c r="D139" s="133"/>
      <c r="E139" s="133"/>
      <c r="F139" s="133"/>
      <c r="G139" s="133">
        <v>279900</v>
      </c>
    </row>
    <row r="140" spans="1:7" ht="42.75" customHeight="1">
      <c r="A140" s="484">
        <v>15</v>
      </c>
      <c r="B140" s="127" t="s">
        <v>103</v>
      </c>
      <c r="C140" s="171"/>
      <c r="D140" s="160"/>
      <c r="E140" s="160"/>
      <c r="F140" s="160"/>
      <c r="G140" s="160">
        <f>SUM(G141)</f>
        <v>399900</v>
      </c>
    </row>
    <row r="141" spans="1:7" ht="42.75" customHeight="1">
      <c r="A141" s="138">
        <v>150101</v>
      </c>
      <c r="B141" s="135" t="s">
        <v>572</v>
      </c>
      <c r="C141" s="132" t="s">
        <v>462</v>
      </c>
      <c r="D141" s="133"/>
      <c r="E141" s="133"/>
      <c r="F141" s="133"/>
      <c r="G141" s="133">
        <v>399900</v>
      </c>
    </row>
    <row r="142" spans="1:7" ht="63" customHeight="1">
      <c r="A142" s="484">
        <v>52</v>
      </c>
      <c r="B142" s="127" t="s">
        <v>522</v>
      </c>
      <c r="C142" s="171"/>
      <c r="D142" s="160"/>
      <c r="E142" s="160"/>
      <c r="F142" s="160"/>
      <c r="G142" s="160">
        <f>SUM(G143)</f>
        <v>399900</v>
      </c>
    </row>
    <row r="143" spans="1:7" ht="42.75" customHeight="1">
      <c r="A143" s="138">
        <v>150101</v>
      </c>
      <c r="B143" s="135" t="s">
        <v>572</v>
      </c>
      <c r="C143" s="132" t="s">
        <v>462</v>
      </c>
      <c r="D143" s="133"/>
      <c r="E143" s="133"/>
      <c r="F143" s="133"/>
      <c r="G143" s="133">
        <v>399900</v>
      </c>
    </row>
    <row r="144" spans="1:7" ht="42.75" customHeight="1">
      <c r="A144" s="484">
        <v>32</v>
      </c>
      <c r="B144" s="127" t="s">
        <v>210</v>
      </c>
      <c r="C144" s="171"/>
      <c r="D144" s="160"/>
      <c r="E144" s="160"/>
      <c r="F144" s="160"/>
      <c r="G144" s="160">
        <f>SUM(G145)</f>
        <v>399900</v>
      </c>
    </row>
    <row r="145" spans="1:7" ht="42.75" customHeight="1">
      <c r="A145" s="138">
        <v>150101</v>
      </c>
      <c r="B145" s="135" t="s">
        <v>572</v>
      </c>
      <c r="C145" s="132" t="s">
        <v>462</v>
      </c>
      <c r="D145" s="133"/>
      <c r="E145" s="133"/>
      <c r="F145" s="133"/>
      <c r="G145" s="133">
        <v>399900</v>
      </c>
    </row>
    <row r="146" spans="1:7" ht="87.75" customHeight="1">
      <c r="A146" s="484">
        <v>68</v>
      </c>
      <c r="B146" s="127" t="s">
        <v>559</v>
      </c>
      <c r="C146" s="171"/>
      <c r="D146" s="160"/>
      <c r="E146" s="160"/>
      <c r="F146" s="160"/>
      <c r="G146" s="160">
        <f>SUM(G147)</f>
        <v>399900</v>
      </c>
    </row>
    <row r="147" spans="1:7" ht="42.75" customHeight="1">
      <c r="A147" s="138">
        <v>150101</v>
      </c>
      <c r="B147" s="135" t="s">
        <v>572</v>
      </c>
      <c r="C147" s="132" t="s">
        <v>462</v>
      </c>
      <c r="D147" s="133"/>
      <c r="E147" s="133"/>
      <c r="F147" s="133"/>
      <c r="G147" s="133">
        <v>399900</v>
      </c>
    </row>
    <row r="148" spans="1:8" ht="42.75" customHeight="1">
      <c r="A148" s="172"/>
      <c r="B148" s="152" t="s">
        <v>495</v>
      </c>
      <c r="C148" s="173"/>
      <c r="D148" s="174">
        <f>D12+D41+D73+D84+D95+D115+D121+D126</f>
        <v>500014313.05999994</v>
      </c>
      <c r="E148" s="174"/>
      <c r="F148" s="174">
        <f>SUM(F12+F41+F73+F84+F95+F115)</f>
        <v>374550329.18</v>
      </c>
      <c r="G148" s="174">
        <f>SUM(G12+G41+G73+G84+G95+G115+G121+G126+G134+G135+G138+G140+G142+G144+G146)</f>
        <v>285121426</v>
      </c>
      <c r="H148" s="175"/>
    </row>
    <row r="149" spans="1:7" s="179" customFormat="1" ht="27.75" customHeight="1">
      <c r="A149" s="107"/>
      <c r="B149" s="176"/>
      <c r="C149" s="107"/>
      <c r="D149" s="177"/>
      <c r="E149" s="178"/>
      <c r="F149" s="178"/>
      <c r="G149" s="177"/>
    </row>
    <row r="150" spans="1:7" ht="19.5">
      <c r="A150" s="179"/>
      <c r="B150" s="180"/>
      <c r="C150" s="179"/>
      <c r="G150" s="181"/>
    </row>
    <row r="151" spans="1:7" s="179" customFormat="1" ht="21">
      <c r="A151" s="107"/>
      <c r="B151" s="176"/>
      <c r="C151" s="107"/>
      <c r="D151" s="182"/>
      <c r="F151" s="183"/>
      <c r="G151" s="184"/>
    </row>
    <row r="152" spans="2:7" ht="19.5">
      <c r="B152" s="180"/>
      <c r="F152" s="185"/>
      <c r="G152" s="186"/>
    </row>
    <row r="153" spans="1:7" ht="21">
      <c r="A153" s="113"/>
      <c r="B153" s="187"/>
      <c r="C153" s="188"/>
      <c r="D153" s="188"/>
      <c r="E153" s="188"/>
      <c r="F153" s="188"/>
      <c r="G153" s="188"/>
    </row>
    <row r="154" spans="1:7" ht="21">
      <c r="A154" s="113"/>
      <c r="B154" s="187"/>
      <c r="C154" s="188"/>
      <c r="D154" s="188"/>
      <c r="E154" s="188"/>
      <c r="F154" s="188"/>
      <c r="G154" s="188"/>
    </row>
    <row r="155" ht="19.5">
      <c r="B155" s="180"/>
    </row>
    <row r="156" ht="19.5">
      <c r="B156" s="180"/>
    </row>
    <row r="157" ht="19.5">
      <c r="B157" s="180"/>
    </row>
    <row r="158" ht="19.5">
      <c r="B158" s="180"/>
    </row>
    <row r="159" ht="19.5">
      <c r="B159" s="180"/>
    </row>
    <row r="160" ht="19.5">
      <c r="B160" s="180"/>
    </row>
    <row r="161" ht="19.5">
      <c r="B161" s="180"/>
    </row>
    <row r="162" ht="19.5">
      <c r="B162" s="180"/>
    </row>
    <row r="163" ht="19.5">
      <c r="B163" s="180"/>
    </row>
    <row r="164" ht="19.5">
      <c r="B164" s="180"/>
    </row>
    <row r="165" ht="19.5">
      <c r="B165" s="180"/>
    </row>
    <row r="166" ht="19.5">
      <c r="B166" s="180"/>
    </row>
    <row r="167" ht="19.5">
      <c r="B167" s="180"/>
    </row>
    <row r="168" ht="19.5">
      <c r="B168" s="180"/>
    </row>
    <row r="169" ht="19.5">
      <c r="B169" s="180"/>
    </row>
    <row r="170" ht="19.5">
      <c r="B170" s="180"/>
    </row>
    <row r="171" ht="19.5">
      <c r="B171" s="180"/>
    </row>
    <row r="172" ht="19.5">
      <c r="B172" s="180"/>
    </row>
    <row r="173" ht="19.5">
      <c r="B173" s="180"/>
    </row>
    <row r="174" ht="19.5">
      <c r="B174" s="180"/>
    </row>
    <row r="175" ht="19.5">
      <c r="B175" s="180"/>
    </row>
    <row r="176" ht="19.5">
      <c r="B176" s="180"/>
    </row>
    <row r="177" ht="19.5">
      <c r="B177" s="180"/>
    </row>
    <row r="178" ht="19.5">
      <c r="B178" s="180"/>
    </row>
    <row r="179" ht="19.5">
      <c r="B179" s="180"/>
    </row>
    <row r="180" ht="19.5">
      <c r="B180" s="180"/>
    </row>
    <row r="181" ht="19.5">
      <c r="B181" s="180"/>
    </row>
    <row r="182" ht="19.5">
      <c r="B182" s="180"/>
    </row>
    <row r="183" ht="19.5">
      <c r="B183" s="180"/>
    </row>
    <row r="184" ht="19.5">
      <c r="B184" s="180"/>
    </row>
    <row r="185" ht="19.5">
      <c r="B185" s="180"/>
    </row>
    <row r="186" ht="19.5">
      <c r="B186" s="180"/>
    </row>
  </sheetData>
  <mergeCells count="7">
    <mergeCell ref="A6:G6"/>
    <mergeCell ref="A7:G7"/>
    <mergeCell ref="C9:C10"/>
    <mergeCell ref="D9:D10"/>
    <mergeCell ref="E9:E10"/>
    <mergeCell ref="F9:F10"/>
    <mergeCell ref="G9:G10"/>
  </mergeCells>
  <printOptions/>
  <pageMargins left="0.75" right="0.75" top="1" bottom="1" header="0.5" footer="0.5"/>
  <pageSetup horizontalDpi="600" verticalDpi="600" orientation="portrait" paperSize="9" scale="31" r:id="rId1"/>
</worksheet>
</file>

<file path=xl/worksheets/sheet9.xml><?xml version="1.0" encoding="utf-8"?>
<worksheet xmlns="http://schemas.openxmlformats.org/spreadsheetml/2006/main" xmlns:r="http://schemas.openxmlformats.org/officeDocument/2006/relationships">
  <dimension ref="A1:J148"/>
  <sheetViews>
    <sheetView view="pageBreakPreview" zoomScale="25" zoomScaleNormal="50" zoomScaleSheetLayoutView="25" workbookViewId="0" topLeftCell="A1">
      <selection activeCell="B5" sqref="B5"/>
    </sheetView>
  </sheetViews>
  <sheetFormatPr defaultColWidth="9.140625" defaultRowHeight="12.75"/>
  <cols>
    <col min="1" max="1" width="41.140625" style="303" customWidth="1"/>
    <col min="2" max="2" width="149.00390625" style="303" customWidth="1"/>
    <col min="3" max="3" width="126.57421875" style="303" customWidth="1"/>
    <col min="4" max="4" width="65.8515625" style="304" customWidth="1"/>
    <col min="5" max="5" width="123.140625" style="303" customWidth="1"/>
    <col min="6" max="6" width="55.28125" style="306" customWidth="1"/>
    <col min="7" max="7" width="73.140625" style="304" customWidth="1"/>
    <col min="8" max="8" width="50.8515625" style="303" customWidth="1"/>
    <col min="9" max="9" width="29.00390625" style="303" customWidth="1"/>
    <col min="10" max="10" width="18.57421875" style="303" customWidth="1"/>
    <col min="11" max="16384" width="9.140625" style="303" customWidth="1"/>
  </cols>
  <sheetData>
    <row r="1" ht="35.25">
      <c r="E1" s="305" t="s">
        <v>340</v>
      </c>
    </row>
    <row r="2" ht="35.25">
      <c r="E2" s="305" t="s">
        <v>143</v>
      </c>
    </row>
    <row r="3" ht="35.25">
      <c r="E3" s="305" t="s">
        <v>754</v>
      </c>
    </row>
    <row r="4" spans="5:7" ht="38.25">
      <c r="E4" s="305" t="s">
        <v>578</v>
      </c>
      <c r="F4" s="307"/>
      <c r="G4" s="307"/>
    </row>
    <row r="5" spans="5:7" ht="38.25">
      <c r="E5" s="707" t="s">
        <v>111</v>
      </c>
      <c r="F5" s="99"/>
      <c r="G5" s="307"/>
    </row>
    <row r="6" spans="8:10" ht="35.25">
      <c r="H6" s="305"/>
      <c r="I6" s="305"/>
      <c r="J6" s="305"/>
    </row>
    <row r="7" spans="2:5" ht="35.25">
      <c r="B7" s="701" t="s">
        <v>341</v>
      </c>
      <c r="C7" s="702"/>
      <c r="D7" s="702"/>
      <c r="E7" s="702"/>
    </row>
    <row r="8" ht="35.25" thickBot="1">
      <c r="G8" s="304" t="s">
        <v>523</v>
      </c>
    </row>
    <row r="9" spans="1:7" ht="207" customHeight="1" thickBot="1">
      <c r="A9" s="212" t="s">
        <v>701</v>
      </c>
      <c r="B9" s="212" t="s">
        <v>342</v>
      </c>
      <c r="C9" s="703" t="s">
        <v>152</v>
      </c>
      <c r="D9" s="703"/>
      <c r="E9" s="703" t="s">
        <v>154</v>
      </c>
      <c r="F9" s="703"/>
      <c r="G9" s="308" t="s">
        <v>495</v>
      </c>
    </row>
    <row r="10" spans="1:7" ht="208.5" customHeight="1" thickBot="1">
      <c r="A10" s="212" t="s">
        <v>343</v>
      </c>
      <c r="B10" s="212" t="s">
        <v>344</v>
      </c>
      <c r="C10" s="212" t="s">
        <v>345</v>
      </c>
      <c r="D10" s="309" t="s">
        <v>346</v>
      </c>
      <c r="E10" s="212" t="s">
        <v>345</v>
      </c>
      <c r="F10" s="309" t="s">
        <v>346</v>
      </c>
      <c r="G10" s="309" t="s">
        <v>346</v>
      </c>
    </row>
    <row r="11" spans="1:9" ht="66" customHeight="1" thickBot="1">
      <c r="A11" s="310">
        <v>10</v>
      </c>
      <c r="B11" s="311" t="s">
        <v>866</v>
      </c>
      <c r="C11" s="312"/>
      <c r="D11" s="313">
        <f>SUM(D12:D25)</f>
        <v>11320647</v>
      </c>
      <c r="E11" s="313"/>
      <c r="F11" s="314">
        <f>SUM(F12:F25)</f>
        <v>22918314</v>
      </c>
      <c r="G11" s="314">
        <f>SUM(D11+F11)</f>
        <v>34238961</v>
      </c>
      <c r="H11" s="315"/>
      <c r="I11" s="315"/>
    </row>
    <row r="12" spans="1:8" ht="42.75" customHeight="1">
      <c r="A12" s="316" t="s">
        <v>347</v>
      </c>
      <c r="B12" s="294" t="s">
        <v>918</v>
      </c>
      <c r="C12" s="692" t="s">
        <v>348</v>
      </c>
      <c r="D12" s="318">
        <f>524020-225000</f>
        <v>299020</v>
      </c>
      <c r="E12" s="318"/>
      <c r="F12" s="222"/>
      <c r="G12" s="319">
        <f>SUM(D12+F12)</f>
        <v>299020</v>
      </c>
      <c r="H12" s="320"/>
    </row>
    <row r="13" spans="1:7" ht="191.25" customHeight="1">
      <c r="A13" s="316" t="s">
        <v>349</v>
      </c>
      <c r="B13" s="294" t="s">
        <v>350</v>
      </c>
      <c r="C13" s="692"/>
      <c r="D13" s="318">
        <f>535040-3800</f>
        <v>531240</v>
      </c>
      <c r="E13" s="318"/>
      <c r="F13" s="318"/>
      <c r="G13" s="321">
        <f aca="true" t="shared" si="0" ref="G13:G25">SUM(D13+F13)</f>
        <v>531240</v>
      </c>
    </row>
    <row r="14" spans="1:7" ht="154.5" customHeight="1">
      <c r="A14" s="316" t="s">
        <v>351</v>
      </c>
      <c r="B14" s="252" t="s">
        <v>352</v>
      </c>
      <c r="C14" s="693" t="s">
        <v>77</v>
      </c>
      <c r="D14" s="318">
        <f>201780-50580</f>
        <v>151200</v>
      </c>
      <c r="E14" s="318"/>
      <c r="F14" s="318"/>
      <c r="G14" s="321">
        <f t="shared" si="0"/>
        <v>151200</v>
      </c>
    </row>
    <row r="15" spans="1:7" ht="189.75" customHeight="1">
      <c r="A15" s="316" t="s">
        <v>349</v>
      </c>
      <c r="B15" s="294" t="s">
        <v>350</v>
      </c>
      <c r="C15" s="693"/>
      <c r="D15" s="318">
        <f>491196-22028</f>
        <v>469168</v>
      </c>
      <c r="E15" s="318"/>
      <c r="F15" s="318"/>
      <c r="G15" s="321">
        <f t="shared" si="0"/>
        <v>469168</v>
      </c>
    </row>
    <row r="16" spans="1:7" ht="149.25" customHeight="1">
      <c r="A16" s="316" t="s">
        <v>78</v>
      </c>
      <c r="B16" s="294" t="s">
        <v>79</v>
      </c>
      <c r="C16" s="252" t="s">
        <v>80</v>
      </c>
      <c r="D16" s="318">
        <f>30780-30780</f>
        <v>0</v>
      </c>
      <c r="E16" s="322"/>
      <c r="F16" s="318"/>
      <c r="G16" s="321">
        <f t="shared" si="0"/>
        <v>0</v>
      </c>
    </row>
    <row r="17" spans="1:7" ht="121.5" customHeight="1">
      <c r="A17" s="316">
        <v>240900</v>
      </c>
      <c r="B17" s="292" t="s">
        <v>189</v>
      </c>
      <c r="C17" s="252"/>
      <c r="D17" s="318"/>
      <c r="E17" s="322" t="s">
        <v>80</v>
      </c>
      <c r="F17" s="318">
        <f>742522-7600</f>
        <v>734922</v>
      </c>
      <c r="G17" s="321">
        <f t="shared" si="0"/>
        <v>734922</v>
      </c>
    </row>
    <row r="18" spans="1:7" ht="163.5" customHeight="1">
      <c r="A18" s="316">
        <v>130107</v>
      </c>
      <c r="B18" s="317" t="s">
        <v>81</v>
      </c>
      <c r="C18" s="316" t="s">
        <v>82</v>
      </c>
      <c r="D18" s="323">
        <f>5913719+3937300</f>
        <v>9851019</v>
      </c>
      <c r="E18" s="323"/>
      <c r="F18" s="324"/>
      <c r="G18" s="321">
        <f t="shared" si="0"/>
        <v>9851019</v>
      </c>
    </row>
    <row r="19" spans="1:7" ht="178.5" customHeight="1">
      <c r="A19" s="693">
        <v>240900</v>
      </c>
      <c r="B19" s="692" t="s">
        <v>189</v>
      </c>
      <c r="C19" s="317"/>
      <c r="D19" s="323"/>
      <c r="E19" s="323" t="s">
        <v>83</v>
      </c>
      <c r="F19" s="324">
        <f>7362374+7600</f>
        <v>7369974</v>
      </c>
      <c r="G19" s="325">
        <f>SUM(F19)</f>
        <v>7369974</v>
      </c>
    </row>
    <row r="20" spans="1:7" ht="219" customHeight="1">
      <c r="A20" s="693"/>
      <c r="B20" s="692"/>
      <c r="C20" s="317"/>
      <c r="D20" s="323"/>
      <c r="E20" s="318" t="s">
        <v>84</v>
      </c>
      <c r="F20" s="324">
        <f>114000-30000-10000</f>
        <v>74000</v>
      </c>
      <c r="G20" s="325">
        <f>SUM(F20)</f>
        <v>74000</v>
      </c>
    </row>
    <row r="21" spans="1:7" ht="178.5" customHeight="1">
      <c r="A21" s="693"/>
      <c r="B21" s="692"/>
      <c r="C21" s="317"/>
      <c r="D21" s="323"/>
      <c r="E21" s="230" t="s">
        <v>85</v>
      </c>
      <c r="F21" s="324">
        <v>170241</v>
      </c>
      <c r="G21" s="325">
        <f>SUM(F21)</f>
        <v>170241</v>
      </c>
    </row>
    <row r="22" spans="1:7" ht="222" customHeight="1">
      <c r="A22" s="316">
        <v>210107</v>
      </c>
      <c r="B22" s="326" t="s">
        <v>315</v>
      </c>
      <c r="C22" s="316" t="s">
        <v>86</v>
      </c>
      <c r="D22" s="323">
        <v>19000</v>
      </c>
      <c r="E22" s="323"/>
      <c r="F22" s="324"/>
      <c r="G22" s="325">
        <f>SUM(D22+F22)</f>
        <v>19000</v>
      </c>
    </row>
    <row r="23" spans="1:7" ht="147" customHeight="1">
      <c r="A23" s="692">
        <v>150101</v>
      </c>
      <c r="B23" s="692" t="s">
        <v>572</v>
      </c>
      <c r="C23" s="316"/>
      <c r="D23" s="323"/>
      <c r="E23" s="322" t="s">
        <v>80</v>
      </c>
      <c r="F23" s="324">
        <v>355680</v>
      </c>
      <c r="G23" s="325">
        <f>SUM(F23)</f>
        <v>355680</v>
      </c>
    </row>
    <row r="24" spans="1:7" ht="147" customHeight="1">
      <c r="A24" s="692"/>
      <c r="B24" s="692"/>
      <c r="C24" s="316"/>
      <c r="D24" s="323"/>
      <c r="E24" s="323" t="s">
        <v>83</v>
      </c>
      <c r="F24" s="324">
        <v>14103301</v>
      </c>
      <c r="G24" s="325">
        <f>SUM(F24)</f>
        <v>14103301</v>
      </c>
    </row>
    <row r="25" spans="1:7" ht="139.5" customHeight="1" thickBot="1">
      <c r="A25" s="316">
        <v>240601</v>
      </c>
      <c r="B25" s="317" t="s">
        <v>927</v>
      </c>
      <c r="C25" s="316"/>
      <c r="D25" s="323"/>
      <c r="E25" s="323" t="s">
        <v>87</v>
      </c>
      <c r="F25" s="324">
        <v>110196</v>
      </c>
      <c r="G25" s="325">
        <f t="shared" si="0"/>
        <v>110196</v>
      </c>
    </row>
    <row r="26" spans="1:8" ht="69" customHeight="1">
      <c r="A26" s="327">
        <v>14</v>
      </c>
      <c r="B26" s="328" t="s">
        <v>88</v>
      </c>
      <c r="C26" s="329"/>
      <c r="D26" s="330">
        <f>SUM(D27:D44)</f>
        <v>13169746.44</v>
      </c>
      <c r="E26" s="330"/>
      <c r="F26" s="313">
        <f>SUM(F27:F44)</f>
        <v>3769084</v>
      </c>
      <c r="G26" s="313">
        <f>SUM(D26+F26)</f>
        <v>16938830.439999998</v>
      </c>
      <c r="H26" s="315"/>
    </row>
    <row r="27" spans="1:7" ht="35.25" customHeight="1">
      <c r="A27" s="316" t="s">
        <v>89</v>
      </c>
      <c r="B27" s="235" t="s">
        <v>299</v>
      </c>
      <c r="C27" s="693" t="s">
        <v>85</v>
      </c>
      <c r="D27" s="318">
        <f>6784520-2483066-6840+494313</f>
        <v>4788927</v>
      </c>
      <c r="E27" s="323"/>
      <c r="F27" s="331"/>
      <c r="G27" s="323">
        <f aca="true" t="shared" si="1" ref="G27:G44">SUM(D27+F27)</f>
        <v>4788927</v>
      </c>
    </row>
    <row r="28" spans="1:7" ht="38.25" customHeight="1">
      <c r="A28" s="316" t="s">
        <v>90</v>
      </c>
      <c r="B28" s="235" t="s">
        <v>322</v>
      </c>
      <c r="C28" s="693"/>
      <c r="D28" s="318">
        <f>1227400-224878-160000+115140</f>
        <v>957662</v>
      </c>
      <c r="E28" s="323"/>
      <c r="F28" s="323"/>
      <c r="G28" s="323">
        <f t="shared" si="1"/>
        <v>957662</v>
      </c>
    </row>
    <row r="29" spans="1:7" ht="41.25" customHeight="1">
      <c r="A29" s="316" t="s">
        <v>172</v>
      </c>
      <c r="B29" s="235" t="s">
        <v>937</v>
      </c>
      <c r="C29" s="693"/>
      <c r="D29" s="318">
        <f>558600</f>
        <v>558600</v>
      </c>
      <c r="E29" s="323"/>
      <c r="F29" s="323"/>
      <c r="G29" s="323">
        <f t="shared" si="1"/>
        <v>558600</v>
      </c>
    </row>
    <row r="30" spans="1:7" ht="72" customHeight="1">
      <c r="A30" s="316" t="s">
        <v>91</v>
      </c>
      <c r="B30" s="235" t="s">
        <v>924</v>
      </c>
      <c r="C30" s="693"/>
      <c r="D30" s="318">
        <f>1435260-904154-32400</f>
        <v>498706</v>
      </c>
      <c r="E30" s="323"/>
      <c r="F30" s="323"/>
      <c r="G30" s="323">
        <f t="shared" si="1"/>
        <v>498706</v>
      </c>
    </row>
    <row r="31" spans="1:7" ht="75" customHeight="1">
      <c r="A31" s="316" t="s">
        <v>92</v>
      </c>
      <c r="B31" s="235" t="s">
        <v>926</v>
      </c>
      <c r="C31" s="693"/>
      <c r="D31" s="318">
        <f>379620-365422</f>
        <v>14198</v>
      </c>
      <c r="E31" s="323"/>
      <c r="F31" s="323"/>
      <c r="G31" s="323">
        <f t="shared" si="1"/>
        <v>14198</v>
      </c>
    </row>
    <row r="32" spans="1:7" ht="62.25" customHeight="1">
      <c r="A32" s="316" t="s">
        <v>93</v>
      </c>
      <c r="B32" s="235" t="s">
        <v>925</v>
      </c>
      <c r="C32" s="693"/>
      <c r="D32" s="318">
        <f>105260-37000</f>
        <v>68260</v>
      </c>
      <c r="E32" s="323"/>
      <c r="F32" s="323"/>
      <c r="G32" s="323">
        <f t="shared" si="1"/>
        <v>68260</v>
      </c>
    </row>
    <row r="33" spans="1:7" ht="69.75" customHeight="1">
      <c r="A33" s="332" t="s">
        <v>94</v>
      </c>
      <c r="B33" s="333" t="s">
        <v>636</v>
      </c>
      <c r="C33" s="693"/>
      <c r="D33" s="318">
        <f>121220-121220</f>
        <v>0</v>
      </c>
      <c r="E33" s="323"/>
      <c r="F33" s="323"/>
      <c r="G33" s="323">
        <f t="shared" si="1"/>
        <v>0</v>
      </c>
    </row>
    <row r="34" spans="1:7" ht="46.5" customHeight="1">
      <c r="A34" s="316" t="s">
        <v>95</v>
      </c>
      <c r="B34" s="235" t="s">
        <v>459</v>
      </c>
      <c r="C34" s="693"/>
      <c r="D34" s="318">
        <f>889201-40015</f>
        <v>849186</v>
      </c>
      <c r="E34" s="323"/>
      <c r="F34" s="323"/>
      <c r="G34" s="323">
        <f t="shared" si="1"/>
        <v>849186</v>
      </c>
    </row>
    <row r="35" spans="1:7" ht="72" customHeight="1">
      <c r="A35" s="316" t="s">
        <v>96</v>
      </c>
      <c r="B35" s="235" t="s">
        <v>801</v>
      </c>
      <c r="C35" s="693"/>
      <c r="D35" s="318">
        <f>2514460+600000+300000+308755.44</f>
        <v>3723215.44</v>
      </c>
      <c r="E35" s="323"/>
      <c r="F35" s="323"/>
      <c r="G35" s="323">
        <f t="shared" si="1"/>
        <v>3723215.44</v>
      </c>
    </row>
    <row r="36" spans="1:7" ht="108.75" customHeight="1">
      <c r="A36" s="316" t="s">
        <v>97</v>
      </c>
      <c r="B36" s="334" t="s">
        <v>313</v>
      </c>
      <c r="C36" s="693"/>
      <c r="D36" s="318">
        <f>1520-1520</f>
        <v>0</v>
      </c>
      <c r="E36" s="323"/>
      <c r="F36" s="323"/>
      <c r="G36" s="323">
        <f t="shared" si="1"/>
        <v>0</v>
      </c>
    </row>
    <row r="37" spans="1:7" ht="69" customHeight="1">
      <c r="A37" s="316" t="s">
        <v>98</v>
      </c>
      <c r="B37" s="263" t="s">
        <v>300</v>
      </c>
      <c r="C37" s="693"/>
      <c r="D37" s="318">
        <f>1557480+314000-343460</f>
        <v>1528020</v>
      </c>
      <c r="E37" s="323"/>
      <c r="F37" s="323"/>
      <c r="G37" s="323">
        <f t="shared" si="1"/>
        <v>1528020</v>
      </c>
    </row>
    <row r="38" spans="1:7" ht="136.5" customHeight="1">
      <c r="A38" s="316" t="s">
        <v>95</v>
      </c>
      <c r="B38" s="235" t="s">
        <v>459</v>
      </c>
      <c r="C38" s="316" t="s">
        <v>99</v>
      </c>
      <c r="D38" s="318">
        <v>162259</v>
      </c>
      <c r="E38" s="323"/>
      <c r="F38" s="323"/>
      <c r="G38" s="323">
        <f t="shared" si="1"/>
        <v>162259</v>
      </c>
    </row>
    <row r="39" spans="1:7" ht="180" customHeight="1">
      <c r="A39" s="316" t="s">
        <v>89</v>
      </c>
      <c r="B39" s="235" t="s">
        <v>299</v>
      </c>
      <c r="C39" s="316" t="s">
        <v>100</v>
      </c>
      <c r="D39" s="318">
        <f>158460-137747</f>
        <v>20713</v>
      </c>
      <c r="E39" s="323"/>
      <c r="F39" s="323"/>
      <c r="G39" s="323">
        <f t="shared" si="1"/>
        <v>20713</v>
      </c>
    </row>
    <row r="40" spans="1:7" ht="202.5" customHeight="1">
      <c r="A40" s="693">
        <v>240900</v>
      </c>
      <c r="B40" s="692" t="s">
        <v>189</v>
      </c>
      <c r="C40" s="316"/>
      <c r="D40" s="318"/>
      <c r="E40" s="318" t="s">
        <v>84</v>
      </c>
      <c r="F40" s="323">
        <f>123500-20191</f>
        <v>103309</v>
      </c>
      <c r="G40" s="323">
        <f>SUM(F40)</f>
        <v>103309</v>
      </c>
    </row>
    <row r="41" spans="1:7" ht="144" customHeight="1">
      <c r="A41" s="693"/>
      <c r="B41" s="692"/>
      <c r="C41" s="316"/>
      <c r="D41" s="318"/>
      <c r="E41" s="230" t="s">
        <v>85</v>
      </c>
      <c r="F41" s="323">
        <v>2146265</v>
      </c>
      <c r="G41" s="323">
        <f>SUM(F41)</f>
        <v>2146265</v>
      </c>
    </row>
    <row r="42" spans="1:7" ht="183" customHeight="1">
      <c r="A42" s="693"/>
      <c r="B42" s="692"/>
      <c r="C42" s="316"/>
      <c r="D42" s="318"/>
      <c r="E42" s="323" t="s">
        <v>100</v>
      </c>
      <c r="F42" s="323">
        <v>592800</v>
      </c>
      <c r="G42" s="323">
        <f>SUM(F42)</f>
        <v>592800</v>
      </c>
    </row>
    <row r="43" spans="1:7" ht="183" customHeight="1">
      <c r="A43" s="252">
        <v>150101</v>
      </c>
      <c r="B43" s="252" t="s">
        <v>572</v>
      </c>
      <c r="C43" s="316"/>
      <c r="D43" s="318"/>
      <c r="E43" s="230" t="s">
        <v>85</v>
      </c>
      <c r="F43" s="323">
        <f>2852588-1925878</f>
        <v>926710</v>
      </c>
      <c r="G43" s="323">
        <f>SUM(F43)</f>
        <v>926710</v>
      </c>
    </row>
    <row r="44" spans="1:7" ht="217.5" customHeight="1">
      <c r="A44" s="316">
        <v>210107</v>
      </c>
      <c r="B44" s="326" t="s">
        <v>315</v>
      </c>
      <c r="C44" s="316" t="s">
        <v>86</v>
      </c>
      <c r="D44" s="318">
        <f>76000-76000</f>
        <v>0</v>
      </c>
      <c r="E44" s="323"/>
      <c r="F44" s="323"/>
      <c r="G44" s="323">
        <f t="shared" si="1"/>
        <v>0</v>
      </c>
    </row>
    <row r="45" spans="1:8" ht="75.75" customHeight="1">
      <c r="A45" s="335">
        <v>21</v>
      </c>
      <c r="B45" s="336" t="s">
        <v>571</v>
      </c>
      <c r="C45" s="337"/>
      <c r="D45" s="338">
        <f>SUM(D46:D48)</f>
        <v>678520</v>
      </c>
      <c r="E45" s="338"/>
      <c r="F45" s="338">
        <f>SUM(F46:F51)</f>
        <v>140507</v>
      </c>
      <c r="G45" s="338">
        <f>SUM(D45+F45)</f>
        <v>819027</v>
      </c>
      <c r="H45" s="339"/>
    </row>
    <row r="46" spans="1:7" ht="65.25" customHeight="1">
      <c r="A46" s="316">
        <v>110204</v>
      </c>
      <c r="B46" s="235" t="s">
        <v>840</v>
      </c>
      <c r="C46" s="694" t="s">
        <v>101</v>
      </c>
      <c r="D46" s="323">
        <f>441560+140600</f>
        <v>582160</v>
      </c>
      <c r="E46" s="323"/>
      <c r="F46" s="323"/>
      <c r="G46" s="323">
        <f aca="true" t="shared" si="2" ref="G46:G91">SUM(D46+F46)</f>
        <v>582160</v>
      </c>
    </row>
    <row r="47" spans="1:7" ht="101.25" customHeight="1">
      <c r="A47" s="316">
        <v>110502</v>
      </c>
      <c r="B47" s="235" t="s">
        <v>493</v>
      </c>
      <c r="C47" s="697"/>
      <c r="D47" s="323">
        <f>146091-64000</f>
        <v>82091</v>
      </c>
      <c r="E47" s="323"/>
      <c r="F47" s="323"/>
      <c r="G47" s="323">
        <f t="shared" si="2"/>
        <v>82091</v>
      </c>
    </row>
    <row r="48" spans="1:7" ht="163.5" customHeight="1">
      <c r="A48" s="691">
        <v>130102</v>
      </c>
      <c r="B48" s="693" t="s">
        <v>102</v>
      </c>
      <c r="C48" s="695"/>
      <c r="D48" s="696">
        <v>14269</v>
      </c>
      <c r="E48" s="696"/>
      <c r="F48" s="696"/>
      <c r="G48" s="696">
        <f>D48+F48</f>
        <v>14269</v>
      </c>
    </row>
    <row r="49" spans="1:7" ht="183" customHeight="1" hidden="1">
      <c r="A49" s="691"/>
      <c r="B49" s="693"/>
      <c r="C49" s="252"/>
      <c r="D49" s="696"/>
      <c r="E49" s="696"/>
      <c r="F49" s="696"/>
      <c r="G49" s="696"/>
    </row>
    <row r="50" spans="1:7" ht="196.5" customHeight="1">
      <c r="A50" s="693">
        <v>240900</v>
      </c>
      <c r="B50" s="692" t="s">
        <v>189</v>
      </c>
      <c r="C50" s="252"/>
      <c r="D50" s="323"/>
      <c r="E50" s="322" t="s">
        <v>101</v>
      </c>
      <c r="F50" s="323">
        <f>89612-22572</f>
        <v>67040</v>
      </c>
      <c r="G50" s="323">
        <f>SUM(F50)</f>
        <v>67040</v>
      </c>
    </row>
    <row r="51" spans="1:7" ht="208.5" customHeight="1">
      <c r="A51" s="693"/>
      <c r="B51" s="692"/>
      <c r="C51" s="317"/>
      <c r="D51" s="323"/>
      <c r="E51" s="318" t="s">
        <v>84</v>
      </c>
      <c r="F51" s="323">
        <f>76000-50105+47572</f>
        <v>73467</v>
      </c>
      <c r="G51" s="323">
        <f>SUM(F51)</f>
        <v>73467</v>
      </c>
    </row>
    <row r="52" spans="1:8" ht="83.25" customHeight="1">
      <c r="A52" s="335">
        <v>15</v>
      </c>
      <c r="B52" s="336" t="s">
        <v>103</v>
      </c>
      <c r="C52" s="337"/>
      <c r="D52" s="338">
        <f>SUM(D53:D60)</f>
        <v>27604686</v>
      </c>
      <c r="E52" s="338"/>
      <c r="F52" s="338">
        <f>SUM(F61:F63)</f>
        <v>1007057</v>
      </c>
      <c r="G52" s="338">
        <f t="shared" si="2"/>
        <v>28611743</v>
      </c>
      <c r="H52" s="339"/>
    </row>
    <row r="53" spans="1:7" ht="172.5" customHeight="1">
      <c r="A53" s="316" t="s">
        <v>104</v>
      </c>
      <c r="B53" s="333" t="s">
        <v>933</v>
      </c>
      <c r="C53" s="316" t="s">
        <v>194</v>
      </c>
      <c r="D53" s="323">
        <f>14057010+9169400</f>
        <v>23226410</v>
      </c>
      <c r="E53" s="323" t="s">
        <v>194</v>
      </c>
      <c r="F53" s="323">
        <v>79800</v>
      </c>
      <c r="G53" s="323">
        <f t="shared" si="2"/>
        <v>23306210</v>
      </c>
    </row>
    <row r="54" spans="1:7" ht="36" customHeight="1">
      <c r="A54" s="316" t="s">
        <v>435</v>
      </c>
      <c r="B54" s="235" t="s">
        <v>583</v>
      </c>
      <c r="C54" s="692" t="s">
        <v>100</v>
      </c>
      <c r="D54" s="318">
        <f>1644903+161253-66400</f>
        <v>1739756</v>
      </c>
      <c r="E54" s="323"/>
      <c r="F54" s="323"/>
      <c r="G54" s="323">
        <f t="shared" si="2"/>
        <v>1739756</v>
      </c>
    </row>
    <row r="55" spans="1:7" ht="83.25" customHeight="1">
      <c r="A55" s="316" t="s">
        <v>104</v>
      </c>
      <c r="B55" s="333" t="s">
        <v>933</v>
      </c>
      <c r="C55" s="692"/>
      <c r="D55" s="318">
        <v>83220</v>
      </c>
      <c r="E55" s="323"/>
      <c r="F55" s="323"/>
      <c r="G55" s="323">
        <f t="shared" si="2"/>
        <v>83220</v>
      </c>
    </row>
    <row r="56" spans="1:7" ht="181.5" customHeight="1">
      <c r="A56" s="340" t="s">
        <v>195</v>
      </c>
      <c r="B56" s="292" t="s">
        <v>188</v>
      </c>
      <c r="C56" s="692"/>
      <c r="D56" s="318">
        <f>2026920+54000</f>
        <v>2080920</v>
      </c>
      <c r="E56" s="323"/>
      <c r="F56" s="323"/>
      <c r="G56" s="323">
        <f t="shared" si="2"/>
        <v>2080920</v>
      </c>
    </row>
    <row r="57" spans="1:7" ht="186" customHeight="1">
      <c r="A57" s="316" t="s">
        <v>443</v>
      </c>
      <c r="B57" s="252" t="s">
        <v>196</v>
      </c>
      <c r="C57" s="692"/>
      <c r="D57" s="318">
        <f>3420+12400</f>
        <v>15820</v>
      </c>
      <c r="E57" s="323"/>
      <c r="F57" s="323"/>
      <c r="G57" s="323">
        <f t="shared" si="2"/>
        <v>15820</v>
      </c>
    </row>
    <row r="58" spans="1:7" ht="160.5" customHeight="1">
      <c r="A58" s="316" t="s">
        <v>351</v>
      </c>
      <c r="B58" s="252" t="s">
        <v>352</v>
      </c>
      <c r="C58" s="692"/>
      <c r="D58" s="318">
        <f>45220-45200</f>
        <v>20</v>
      </c>
      <c r="E58" s="323"/>
      <c r="F58" s="323"/>
      <c r="G58" s="323">
        <f t="shared" si="2"/>
        <v>20</v>
      </c>
    </row>
    <row r="59" spans="1:7" ht="73.5" customHeight="1">
      <c r="A59" s="316">
        <v>110502</v>
      </c>
      <c r="B59" s="252" t="s">
        <v>493</v>
      </c>
      <c r="C59" s="692"/>
      <c r="D59" s="318">
        <v>20900</v>
      </c>
      <c r="E59" s="323"/>
      <c r="F59" s="323"/>
      <c r="G59" s="323">
        <f t="shared" si="2"/>
        <v>20900</v>
      </c>
    </row>
    <row r="60" spans="1:7" ht="67.5" customHeight="1">
      <c r="A60" s="316" t="s">
        <v>197</v>
      </c>
      <c r="B60" s="235" t="s">
        <v>573</v>
      </c>
      <c r="C60" s="692"/>
      <c r="D60" s="323">
        <f>485640-48000</f>
        <v>437640</v>
      </c>
      <c r="E60" s="323"/>
      <c r="F60" s="323"/>
      <c r="G60" s="323">
        <f t="shared" si="2"/>
        <v>437640</v>
      </c>
    </row>
    <row r="61" spans="1:7" ht="243" customHeight="1">
      <c r="A61" s="693">
        <v>240900</v>
      </c>
      <c r="B61" s="692" t="s">
        <v>189</v>
      </c>
      <c r="C61" s="317"/>
      <c r="D61" s="323"/>
      <c r="E61" s="318" t="s">
        <v>84</v>
      </c>
      <c r="F61" s="323">
        <f>448020-200000-22000</f>
        <v>226020</v>
      </c>
      <c r="G61" s="323">
        <f>SUM(F61)</f>
        <v>226020</v>
      </c>
    </row>
    <row r="62" spans="1:7" ht="207" customHeight="1">
      <c r="A62" s="693"/>
      <c r="B62" s="692"/>
      <c r="C62" s="317"/>
      <c r="D62" s="323"/>
      <c r="E62" s="323" t="s">
        <v>194</v>
      </c>
      <c r="F62" s="323">
        <v>759384</v>
      </c>
      <c r="G62" s="323">
        <f>SUM(F62)</f>
        <v>759384</v>
      </c>
    </row>
    <row r="63" spans="1:7" ht="207" customHeight="1">
      <c r="A63" s="693"/>
      <c r="B63" s="692"/>
      <c r="C63" s="317"/>
      <c r="D63" s="323"/>
      <c r="E63" s="322" t="s">
        <v>100</v>
      </c>
      <c r="F63" s="323">
        <v>21653</v>
      </c>
      <c r="G63" s="323">
        <f>SUM(F63)</f>
        <v>21653</v>
      </c>
    </row>
    <row r="64" spans="1:8" ht="84.75" customHeight="1">
      <c r="A64" s="335">
        <v>11</v>
      </c>
      <c r="B64" s="336" t="s">
        <v>146</v>
      </c>
      <c r="C64" s="337"/>
      <c r="D64" s="338">
        <f>SUM(D65:D69)</f>
        <v>5211353</v>
      </c>
      <c r="E64" s="341"/>
      <c r="F64" s="338">
        <f>SUM(F70:F71)</f>
        <v>160100</v>
      </c>
      <c r="G64" s="338">
        <f t="shared" si="2"/>
        <v>5371453</v>
      </c>
      <c r="H64" s="339"/>
    </row>
    <row r="65" spans="1:7" ht="66" customHeight="1">
      <c r="A65" s="316" t="s">
        <v>198</v>
      </c>
      <c r="B65" s="235" t="s">
        <v>949</v>
      </c>
      <c r="C65" s="693" t="s">
        <v>77</v>
      </c>
      <c r="D65" s="323">
        <f>259399-120000</f>
        <v>139399</v>
      </c>
      <c r="E65" s="342"/>
      <c r="F65" s="323"/>
      <c r="G65" s="323">
        <f t="shared" si="2"/>
        <v>139399</v>
      </c>
    </row>
    <row r="66" spans="1:7" ht="34.5" customHeight="1">
      <c r="A66" s="316" t="s">
        <v>199</v>
      </c>
      <c r="B66" s="235" t="s">
        <v>200</v>
      </c>
      <c r="C66" s="693"/>
      <c r="D66" s="323">
        <f>176320-24000</f>
        <v>152320</v>
      </c>
      <c r="E66" s="342"/>
      <c r="F66" s="323"/>
      <c r="G66" s="323">
        <f t="shared" si="2"/>
        <v>152320</v>
      </c>
    </row>
    <row r="67" spans="1:7" ht="140.25" customHeight="1">
      <c r="A67" s="316" t="s">
        <v>351</v>
      </c>
      <c r="B67" s="333" t="s">
        <v>352</v>
      </c>
      <c r="C67" s="693"/>
      <c r="D67" s="323">
        <f>380000-380000</f>
        <v>0</v>
      </c>
      <c r="E67" s="342"/>
      <c r="F67" s="323"/>
      <c r="G67" s="323">
        <f t="shared" si="2"/>
        <v>0</v>
      </c>
    </row>
    <row r="68" spans="1:7" ht="32.25" customHeight="1">
      <c r="A68" s="316">
        <v>180410</v>
      </c>
      <c r="B68" s="317" t="s">
        <v>454</v>
      </c>
      <c r="C68" s="693"/>
      <c r="D68" s="323">
        <f>345420-105500</f>
        <v>239920</v>
      </c>
      <c r="E68" s="342"/>
      <c r="F68" s="323"/>
      <c r="G68" s="323">
        <f t="shared" si="2"/>
        <v>239920</v>
      </c>
    </row>
    <row r="69" spans="1:7" ht="124.5" customHeight="1">
      <c r="A69" s="316" t="s">
        <v>201</v>
      </c>
      <c r="B69" s="235" t="s">
        <v>144</v>
      </c>
      <c r="C69" s="316" t="s">
        <v>10</v>
      </c>
      <c r="D69" s="318">
        <f>3065214+1614500</f>
        <v>4679714</v>
      </c>
      <c r="E69" s="342"/>
      <c r="F69" s="323"/>
      <c r="G69" s="323">
        <f t="shared" si="2"/>
        <v>4679714</v>
      </c>
    </row>
    <row r="70" spans="1:7" ht="124.5" customHeight="1">
      <c r="A70" s="694">
        <v>240900</v>
      </c>
      <c r="B70" s="694" t="s">
        <v>189</v>
      </c>
      <c r="C70" s="316"/>
      <c r="D70" s="318"/>
      <c r="E70" s="322" t="s">
        <v>80</v>
      </c>
      <c r="F70" s="323">
        <f>177460-20900-6460</f>
        <v>150100</v>
      </c>
      <c r="G70" s="323">
        <f>SUM(F70)</f>
        <v>150100</v>
      </c>
    </row>
    <row r="71" spans="1:7" ht="212.25" customHeight="1">
      <c r="A71" s="695"/>
      <c r="B71" s="695"/>
      <c r="C71" s="316"/>
      <c r="D71" s="318"/>
      <c r="E71" s="318" t="s">
        <v>84</v>
      </c>
      <c r="F71" s="323">
        <v>10000</v>
      </c>
      <c r="G71" s="323">
        <f>SUM(F71)</f>
        <v>10000</v>
      </c>
    </row>
    <row r="72" spans="1:8" ht="58.5" customHeight="1">
      <c r="A72" s="335">
        <v>24</v>
      </c>
      <c r="B72" s="343" t="s">
        <v>932</v>
      </c>
      <c r="C72" s="337"/>
      <c r="D72" s="338">
        <f>SUM(D73:D79)</f>
        <v>18596359</v>
      </c>
      <c r="E72" s="344"/>
      <c r="F72" s="338">
        <f>SUM(F73:F80)</f>
        <v>2744372</v>
      </c>
      <c r="G72" s="338">
        <f>SUM(G73:G80)</f>
        <v>21340731</v>
      </c>
      <c r="H72" s="339"/>
    </row>
    <row r="73" spans="1:7" ht="36" customHeight="1">
      <c r="A73" s="317">
        <v>110205</v>
      </c>
      <c r="B73" s="252" t="s">
        <v>492</v>
      </c>
      <c r="C73" s="698" t="s">
        <v>467</v>
      </c>
      <c r="D73" s="345"/>
      <c r="E73" s="696" t="s">
        <v>467</v>
      </c>
      <c r="F73" s="318">
        <v>27740</v>
      </c>
      <c r="G73" s="323">
        <f t="shared" si="2"/>
        <v>27740</v>
      </c>
    </row>
    <row r="74" spans="1:7" ht="33" customHeight="1">
      <c r="A74" s="317">
        <v>110202</v>
      </c>
      <c r="B74" s="252" t="s">
        <v>650</v>
      </c>
      <c r="C74" s="699"/>
      <c r="D74" s="345"/>
      <c r="E74" s="696"/>
      <c r="F74" s="318">
        <v>157700</v>
      </c>
      <c r="G74" s="323">
        <f t="shared" si="2"/>
        <v>157700</v>
      </c>
    </row>
    <row r="75" spans="1:7" ht="31.5" customHeight="1">
      <c r="A75" s="317">
        <v>110201</v>
      </c>
      <c r="B75" s="252" t="s">
        <v>649</v>
      </c>
      <c r="C75" s="699"/>
      <c r="D75" s="318">
        <f>10374113+5543340-100000</f>
        <v>15817453</v>
      </c>
      <c r="E75" s="696"/>
      <c r="F75" s="318">
        <v>51300</v>
      </c>
      <c r="G75" s="323">
        <f t="shared" si="2"/>
        <v>15868753</v>
      </c>
    </row>
    <row r="76" spans="1:7" ht="30" customHeight="1">
      <c r="A76" s="316">
        <v>110502</v>
      </c>
      <c r="B76" s="235" t="s">
        <v>493</v>
      </c>
      <c r="C76" s="699"/>
      <c r="D76" s="318">
        <f>1870906-50000-30000</f>
        <v>1790906</v>
      </c>
      <c r="E76" s="696"/>
      <c r="F76" s="323"/>
      <c r="G76" s="323">
        <f t="shared" si="2"/>
        <v>1790906</v>
      </c>
    </row>
    <row r="77" spans="1:7" ht="30" customHeight="1">
      <c r="A77" s="316">
        <v>110102</v>
      </c>
      <c r="B77" s="235" t="s">
        <v>648</v>
      </c>
      <c r="C77" s="700"/>
      <c r="D77" s="318">
        <v>988000</v>
      </c>
      <c r="E77" s="323"/>
      <c r="F77" s="323"/>
      <c r="G77" s="323">
        <f>SUM(D77)</f>
        <v>988000</v>
      </c>
    </row>
    <row r="78" spans="1:7" ht="30" customHeight="1">
      <c r="A78" s="317">
        <v>150101</v>
      </c>
      <c r="B78" s="252" t="s">
        <v>572</v>
      </c>
      <c r="C78" s="316"/>
      <c r="D78" s="318"/>
      <c r="E78" s="696" t="s">
        <v>467</v>
      </c>
      <c r="F78" s="323">
        <f>423700+679440</f>
        <v>1103140</v>
      </c>
      <c r="G78" s="323">
        <f>SUM(F78)</f>
        <v>1103140</v>
      </c>
    </row>
    <row r="79" spans="1:7" ht="129.75" customHeight="1">
      <c r="A79" s="694">
        <v>240900</v>
      </c>
      <c r="B79" s="694" t="s">
        <v>189</v>
      </c>
      <c r="C79" s="317"/>
      <c r="D79" s="318"/>
      <c r="E79" s="696"/>
      <c r="F79" s="323">
        <v>1342492</v>
      </c>
      <c r="G79" s="323">
        <f t="shared" si="2"/>
        <v>1342492</v>
      </c>
    </row>
    <row r="80" spans="1:7" ht="218.25" customHeight="1">
      <c r="A80" s="695"/>
      <c r="B80" s="695"/>
      <c r="C80" s="317"/>
      <c r="D80" s="318"/>
      <c r="E80" s="318" t="s">
        <v>84</v>
      </c>
      <c r="F80" s="323">
        <f>40000+22000</f>
        <v>62000</v>
      </c>
      <c r="G80" s="323">
        <f>SUM(F80)</f>
        <v>62000</v>
      </c>
    </row>
    <row r="81" spans="1:8" ht="57.75" customHeight="1">
      <c r="A81" s="335">
        <v>20</v>
      </c>
      <c r="B81" s="336" t="s">
        <v>468</v>
      </c>
      <c r="C81" s="337"/>
      <c r="D81" s="338">
        <f>SUM(D82:D83)</f>
        <v>82882.65</v>
      </c>
      <c r="E81" s="338"/>
      <c r="F81" s="338">
        <f>SUM(F82:F83)</f>
        <v>0</v>
      </c>
      <c r="G81" s="338">
        <f t="shared" si="2"/>
        <v>82882.65</v>
      </c>
      <c r="H81" s="339"/>
    </row>
    <row r="82" spans="1:7" ht="107.25" customHeight="1">
      <c r="A82" s="316" t="s">
        <v>707</v>
      </c>
      <c r="B82" s="235" t="s">
        <v>706</v>
      </c>
      <c r="C82" s="693" t="s">
        <v>77</v>
      </c>
      <c r="D82" s="323">
        <f>222680-176657.35</f>
        <v>46022.649999999994</v>
      </c>
      <c r="E82" s="323"/>
      <c r="F82" s="323"/>
      <c r="G82" s="323">
        <f t="shared" si="2"/>
        <v>46022.649999999994</v>
      </c>
    </row>
    <row r="83" spans="1:7" ht="88.5" customHeight="1">
      <c r="A83" s="316" t="s">
        <v>198</v>
      </c>
      <c r="B83" s="235" t="s">
        <v>949</v>
      </c>
      <c r="C83" s="693"/>
      <c r="D83" s="318">
        <v>36860</v>
      </c>
      <c r="E83" s="323"/>
      <c r="F83" s="323"/>
      <c r="G83" s="323">
        <f t="shared" si="2"/>
        <v>36860</v>
      </c>
    </row>
    <row r="84" spans="1:8" ht="87" customHeight="1">
      <c r="A84" s="335">
        <v>40</v>
      </c>
      <c r="B84" s="336" t="s">
        <v>469</v>
      </c>
      <c r="C84" s="337"/>
      <c r="D84" s="338">
        <f>SUM(D85:D91)</f>
        <v>71412921</v>
      </c>
      <c r="E84" s="338"/>
      <c r="F84" s="338">
        <f>SUM(F86:F96)</f>
        <v>86534413</v>
      </c>
      <c r="G84" s="338">
        <f t="shared" si="2"/>
        <v>157947334</v>
      </c>
      <c r="H84" s="315"/>
    </row>
    <row r="85" spans="1:7" s="346" customFormat="1" ht="51.75" customHeight="1">
      <c r="A85" s="317">
        <v>100203</v>
      </c>
      <c r="B85" s="252" t="s">
        <v>593</v>
      </c>
      <c r="C85" s="693" t="s">
        <v>470</v>
      </c>
      <c r="D85" s="318">
        <f>63181576-60000+6457465</f>
        <v>69579041</v>
      </c>
      <c r="E85" s="322"/>
      <c r="F85" s="318"/>
      <c r="G85" s="323">
        <f t="shared" si="2"/>
        <v>69579041</v>
      </c>
    </row>
    <row r="86" spans="1:7" s="346" customFormat="1" ht="125.25" customHeight="1">
      <c r="A86" s="317">
        <v>180410</v>
      </c>
      <c r="B86" s="252" t="s">
        <v>454</v>
      </c>
      <c r="C86" s="693"/>
      <c r="D86" s="318">
        <v>1833880</v>
      </c>
      <c r="E86" s="322"/>
      <c r="F86" s="318"/>
      <c r="G86" s="323">
        <f t="shared" si="2"/>
        <v>1833880</v>
      </c>
    </row>
    <row r="87" spans="1:7" s="346" customFormat="1" ht="117" customHeight="1">
      <c r="A87" s="317">
        <v>170703</v>
      </c>
      <c r="B87" s="252" t="s">
        <v>471</v>
      </c>
      <c r="C87" s="235"/>
      <c r="D87" s="318"/>
      <c r="E87" s="696" t="s">
        <v>470</v>
      </c>
      <c r="F87" s="318">
        <v>1659449</v>
      </c>
      <c r="G87" s="323">
        <f>SUM(F87)</f>
        <v>1659449</v>
      </c>
    </row>
    <row r="88" spans="1:7" s="346" customFormat="1" ht="74.25" customHeight="1">
      <c r="A88" s="317">
        <v>150101</v>
      </c>
      <c r="B88" s="252" t="s">
        <v>572</v>
      </c>
      <c r="C88" s="235"/>
      <c r="D88" s="318"/>
      <c r="E88" s="696"/>
      <c r="F88" s="318">
        <f>44854440+13620267</f>
        <v>58474707</v>
      </c>
      <c r="G88" s="323">
        <f>SUM(F88)</f>
        <v>58474707</v>
      </c>
    </row>
    <row r="89" spans="1:7" s="346" customFormat="1" ht="78.75" customHeight="1">
      <c r="A89" s="694">
        <v>240900</v>
      </c>
      <c r="B89" s="694" t="s">
        <v>189</v>
      </c>
      <c r="C89" s="235"/>
      <c r="D89" s="318"/>
      <c r="E89" s="696"/>
      <c r="F89" s="318">
        <f>25570156-6457465</f>
        <v>19112691</v>
      </c>
      <c r="G89" s="323">
        <f t="shared" si="2"/>
        <v>19112691</v>
      </c>
    </row>
    <row r="90" spans="1:7" s="346" customFormat="1" ht="140.25" customHeight="1">
      <c r="A90" s="697"/>
      <c r="B90" s="697"/>
      <c r="C90" s="235"/>
      <c r="D90" s="318"/>
      <c r="E90" s="230" t="s">
        <v>472</v>
      </c>
      <c r="F90" s="318">
        <v>251290</v>
      </c>
      <c r="G90" s="323">
        <f>SUM(F90)</f>
        <v>251290</v>
      </c>
    </row>
    <row r="91" spans="1:7" s="346" customFormat="1" ht="134.25" customHeight="1">
      <c r="A91" s="697"/>
      <c r="B91" s="697"/>
      <c r="C91" s="235"/>
      <c r="D91" s="318"/>
      <c r="E91" s="230" t="s">
        <v>467</v>
      </c>
      <c r="F91" s="318">
        <v>379620</v>
      </c>
      <c r="G91" s="323">
        <f t="shared" si="2"/>
        <v>379620</v>
      </c>
    </row>
    <row r="92" spans="1:7" s="346" customFormat="1" ht="201" customHeight="1">
      <c r="A92" s="697"/>
      <c r="B92" s="697"/>
      <c r="C92" s="235"/>
      <c r="D92" s="318"/>
      <c r="E92" s="318" t="s">
        <v>84</v>
      </c>
      <c r="F92" s="318">
        <v>10000</v>
      </c>
      <c r="G92" s="323">
        <f>SUM(F92)</f>
        <v>10000</v>
      </c>
    </row>
    <row r="93" spans="1:7" s="346" customFormat="1" ht="134.25" customHeight="1">
      <c r="A93" s="697"/>
      <c r="B93" s="697"/>
      <c r="C93" s="235"/>
      <c r="D93" s="318"/>
      <c r="E93" s="318" t="s">
        <v>473</v>
      </c>
      <c r="F93" s="318">
        <v>700074</v>
      </c>
      <c r="G93" s="323">
        <f>SUM(F93)</f>
        <v>700074</v>
      </c>
    </row>
    <row r="94" spans="1:7" s="346" customFormat="1" ht="186.75" customHeight="1">
      <c r="A94" s="695"/>
      <c r="B94" s="695"/>
      <c r="C94" s="235"/>
      <c r="D94" s="318"/>
      <c r="E94" s="347" t="s">
        <v>101</v>
      </c>
      <c r="F94" s="318">
        <v>25536</v>
      </c>
      <c r="G94" s="323">
        <f>SUM(F94)</f>
        <v>25536</v>
      </c>
    </row>
    <row r="95" spans="1:7" s="346" customFormat="1" ht="186.75" customHeight="1">
      <c r="A95" s="694">
        <v>150101</v>
      </c>
      <c r="B95" s="694" t="s">
        <v>572</v>
      </c>
      <c r="C95" s="235"/>
      <c r="D95" s="318"/>
      <c r="E95" s="318" t="s">
        <v>473</v>
      </c>
      <c r="F95" s="318">
        <v>221046</v>
      </c>
      <c r="G95" s="323">
        <f>SUM(F95)</f>
        <v>221046</v>
      </c>
    </row>
    <row r="96" spans="1:7" s="346" customFormat="1" ht="134.25" customHeight="1">
      <c r="A96" s="695"/>
      <c r="B96" s="695"/>
      <c r="C96" s="235"/>
      <c r="D96" s="318"/>
      <c r="E96" s="230" t="s">
        <v>474</v>
      </c>
      <c r="F96" s="318">
        <v>5700000</v>
      </c>
      <c r="G96" s="323">
        <f>SUM(F96)</f>
        <v>5700000</v>
      </c>
    </row>
    <row r="97" spans="1:8" ht="73.5" customHeight="1">
      <c r="A97" s="348">
        <v>13</v>
      </c>
      <c r="B97" s="336" t="s">
        <v>475</v>
      </c>
      <c r="C97" s="337"/>
      <c r="D97" s="349">
        <f>SUM(D98:D100)</f>
        <v>15231628</v>
      </c>
      <c r="E97" s="349"/>
      <c r="F97" s="349">
        <f>SUM(F98:F103)</f>
        <v>4124212</v>
      </c>
      <c r="G97" s="349">
        <f>D97+F97</f>
        <v>19355840</v>
      </c>
      <c r="H97" s="339"/>
    </row>
    <row r="98" spans="1:7" ht="53.25" customHeight="1">
      <c r="A98" s="350">
        <v>130102</v>
      </c>
      <c r="B98" s="235" t="s">
        <v>102</v>
      </c>
      <c r="C98" s="693" t="s">
        <v>476</v>
      </c>
      <c r="D98" s="351">
        <f>4167396+168049-320000</f>
        <v>4015445</v>
      </c>
      <c r="E98" s="352"/>
      <c r="F98" s="352"/>
      <c r="G98" s="323">
        <f>SUM(D98+F98)</f>
        <v>4015445</v>
      </c>
    </row>
    <row r="99" spans="1:7" ht="63.75" customHeight="1">
      <c r="A99" s="350">
        <v>130107</v>
      </c>
      <c r="B99" s="252" t="s">
        <v>81</v>
      </c>
      <c r="C99" s="693"/>
      <c r="D99" s="351">
        <f>4731892+3011400</f>
        <v>7743292</v>
      </c>
      <c r="E99" s="352"/>
      <c r="F99" s="352"/>
      <c r="G99" s="323">
        <f>SUM(D99+F99)</f>
        <v>7743292</v>
      </c>
    </row>
    <row r="100" spans="1:7" ht="54" customHeight="1">
      <c r="A100" s="350">
        <v>130110</v>
      </c>
      <c r="B100" s="252" t="s">
        <v>477</v>
      </c>
      <c r="C100" s="693"/>
      <c r="D100" s="352">
        <f>2585900+27491+775000+84500</f>
        <v>3472891</v>
      </c>
      <c r="E100" s="352"/>
      <c r="F100" s="352"/>
      <c r="G100" s="323">
        <f>SUM(D100+F100)</f>
        <v>3472891</v>
      </c>
    </row>
    <row r="101" spans="1:7" ht="165" customHeight="1">
      <c r="A101" s="317">
        <v>150101</v>
      </c>
      <c r="B101" s="252" t="s">
        <v>572</v>
      </c>
      <c r="C101" s="353"/>
      <c r="D101" s="352"/>
      <c r="E101" s="230" t="s">
        <v>476</v>
      </c>
      <c r="F101" s="352">
        <v>3450400</v>
      </c>
      <c r="G101" s="323">
        <f>SUM(F101)</f>
        <v>3450400</v>
      </c>
    </row>
    <row r="102" spans="1:7" ht="151.5" customHeight="1">
      <c r="A102" s="693">
        <v>240900</v>
      </c>
      <c r="B102" s="692" t="s">
        <v>189</v>
      </c>
      <c r="C102" s="353"/>
      <c r="D102" s="352"/>
      <c r="E102" s="230" t="s">
        <v>476</v>
      </c>
      <c r="F102" s="352">
        <v>543860</v>
      </c>
      <c r="G102" s="323">
        <f>SUM(F102)</f>
        <v>543860</v>
      </c>
    </row>
    <row r="103" spans="1:7" ht="231" customHeight="1">
      <c r="A103" s="693"/>
      <c r="B103" s="692"/>
      <c r="C103" s="353"/>
      <c r="D103" s="352"/>
      <c r="E103" s="318" t="s">
        <v>84</v>
      </c>
      <c r="F103" s="352">
        <f>114760+30192-15000</f>
        <v>129952</v>
      </c>
      <c r="G103" s="323">
        <f>SUM(F103)</f>
        <v>129952</v>
      </c>
    </row>
    <row r="104" spans="1:8" ht="83.25" customHeight="1">
      <c r="A104" s="348">
        <v>47</v>
      </c>
      <c r="B104" s="336" t="s">
        <v>134</v>
      </c>
      <c r="C104" s="335"/>
      <c r="D104" s="349">
        <f>SUM(D105)</f>
        <v>0</v>
      </c>
      <c r="E104" s="338"/>
      <c r="F104" s="349">
        <f>SUM(F105:F109)</f>
        <v>81835835</v>
      </c>
      <c r="G104" s="349">
        <f>F104+D104</f>
        <v>81835835</v>
      </c>
      <c r="H104" s="315"/>
    </row>
    <row r="105" spans="1:8" ht="207" customHeight="1">
      <c r="A105" s="692">
        <v>150101</v>
      </c>
      <c r="B105" s="692" t="s">
        <v>572</v>
      </c>
      <c r="C105" s="317"/>
      <c r="D105" s="354"/>
      <c r="E105" s="323" t="s">
        <v>478</v>
      </c>
      <c r="F105" s="351">
        <f>74960749-54785-4730000</f>
        <v>70175964</v>
      </c>
      <c r="G105" s="323">
        <f>SUM(D105+F105)</f>
        <v>70175964</v>
      </c>
      <c r="H105" s="306"/>
    </row>
    <row r="106" spans="1:8" ht="207" customHeight="1">
      <c r="A106" s="692"/>
      <c r="B106" s="692"/>
      <c r="C106" s="317"/>
      <c r="D106" s="354"/>
      <c r="E106" s="230" t="s">
        <v>476</v>
      </c>
      <c r="F106" s="351">
        <v>2749300</v>
      </c>
      <c r="G106" s="323">
        <f>SUM(F106)</f>
        <v>2749300</v>
      </c>
      <c r="H106" s="306"/>
    </row>
    <row r="107" spans="1:8" ht="207" customHeight="1">
      <c r="A107" s="692"/>
      <c r="B107" s="692"/>
      <c r="C107" s="317"/>
      <c r="D107" s="354"/>
      <c r="E107" s="230" t="s">
        <v>474</v>
      </c>
      <c r="F107" s="351">
        <v>5970940</v>
      </c>
      <c r="G107" s="323">
        <f>SUM(F107)</f>
        <v>5970940</v>
      </c>
      <c r="H107" s="306"/>
    </row>
    <row r="108" spans="1:8" ht="207" customHeight="1">
      <c r="A108" s="692"/>
      <c r="B108" s="692"/>
      <c r="C108" s="317"/>
      <c r="D108" s="354"/>
      <c r="E108" s="230" t="s">
        <v>479</v>
      </c>
      <c r="F108" s="351">
        <v>2434926</v>
      </c>
      <c r="G108" s="323">
        <f>SUM(F108)</f>
        <v>2434926</v>
      </c>
      <c r="H108" s="306"/>
    </row>
    <row r="109" spans="1:8" ht="186" customHeight="1">
      <c r="A109" s="692"/>
      <c r="B109" s="692"/>
      <c r="C109" s="317"/>
      <c r="D109" s="354"/>
      <c r="E109" s="322" t="s">
        <v>101</v>
      </c>
      <c r="F109" s="351">
        <f>449920+54785</f>
        <v>504705</v>
      </c>
      <c r="G109" s="323">
        <f>SUM(F109)</f>
        <v>504705</v>
      </c>
      <c r="H109" s="306"/>
    </row>
    <row r="110" spans="1:8" ht="120.75" customHeight="1">
      <c r="A110" s="348">
        <v>52</v>
      </c>
      <c r="B110" s="336" t="s">
        <v>522</v>
      </c>
      <c r="C110" s="355"/>
      <c r="D110" s="349">
        <f>SUM(D111:D116)</f>
        <v>413505</v>
      </c>
      <c r="E110" s="349"/>
      <c r="F110" s="349">
        <f>SUM(F111:F116)</f>
        <v>2381840</v>
      </c>
      <c r="G110" s="349">
        <f>F110+D110</f>
        <v>2795345</v>
      </c>
      <c r="H110" s="315"/>
    </row>
    <row r="111" spans="1:7" ht="108" customHeight="1">
      <c r="A111" s="340">
        <v>180410</v>
      </c>
      <c r="B111" s="252" t="s">
        <v>454</v>
      </c>
      <c r="C111" s="317" t="s">
        <v>473</v>
      </c>
      <c r="D111" s="351">
        <f>156327-30000</f>
        <v>126327</v>
      </c>
      <c r="E111" s="318"/>
      <c r="F111" s="352"/>
      <c r="G111" s="323">
        <f>SUM(D111+F111)</f>
        <v>126327</v>
      </c>
    </row>
    <row r="112" spans="1:7" ht="181.5" customHeight="1">
      <c r="A112" s="340">
        <v>180410</v>
      </c>
      <c r="B112" s="252" t="s">
        <v>454</v>
      </c>
      <c r="C112" s="235" t="s">
        <v>915</v>
      </c>
      <c r="D112" s="323">
        <f>325178-38000</f>
        <v>287178</v>
      </c>
      <c r="E112" s="230"/>
      <c r="F112" s="352"/>
      <c r="G112" s="323">
        <f>SUM(D112+F112)</f>
        <v>287178</v>
      </c>
    </row>
    <row r="113" spans="1:7" ht="136.5" customHeight="1">
      <c r="A113" s="693">
        <v>240900</v>
      </c>
      <c r="B113" s="692" t="s">
        <v>189</v>
      </c>
      <c r="C113" s="235"/>
      <c r="D113" s="323"/>
      <c r="E113" s="318" t="s">
        <v>473</v>
      </c>
      <c r="F113" s="352">
        <v>127300</v>
      </c>
      <c r="G113" s="323">
        <f>SUM(F113)</f>
        <v>127300</v>
      </c>
    </row>
    <row r="114" spans="1:7" ht="196.5" customHeight="1">
      <c r="A114" s="693"/>
      <c r="B114" s="692"/>
      <c r="C114" s="235"/>
      <c r="D114" s="323"/>
      <c r="E114" s="318" t="s">
        <v>84</v>
      </c>
      <c r="F114" s="352">
        <v>10000</v>
      </c>
      <c r="G114" s="323">
        <f>SUM(F114)</f>
        <v>10000</v>
      </c>
    </row>
    <row r="115" spans="1:7" ht="172.5" customHeight="1">
      <c r="A115" s="693"/>
      <c r="B115" s="692"/>
      <c r="C115" s="235"/>
      <c r="D115" s="323"/>
      <c r="E115" s="323" t="s">
        <v>480</v>
      </c>
      <c r="F115" s="351">
        <v>1794398</v>
      </c>
      <c r="G115" s="323">
        <f>SUM(D115+F115)</f>
        <v>1794398</v>
      </c>
    </row>
    <row r="116" spans="1:7" ht="145.5" customHeight="1">
      <c r="A116" s="316">
        <v>240601</v>
      </c>
      <c r="B116" s="252" t="s">
        <v>927</v>
      </c>
      <c r="C116" s="316"/>
      <c r="D116" s="323"/>
      <c r="E116" s="323" t="s">
        <v>202</v>
      </c>
      <c r="F116" s="351">
        <v>450142</v>
      </c>
      <c r="G116" s="323">
        <f>SUM(D116+F116)</f>
        <v>450142</v>
      </c>
    </row>
    <row r="117" spans="1:8" ht="78.75" customHeight="1">
      <c r="A117" s="348">
        <v>48</v>
      </c>
      <c r="B117" s="336" t="s">
        <v>203</v>
      </c>
      <c r="C117" s="335"/>
      <c r="D117" s="349">
        <f>SUM(D122:D122)</f>
        <v>0</v>
      </c>
      <c r="E117" s="356"/>
      <c r="F117" s="356">
        <f>SUM(F118:F127)</f>
        <v>7025800</v>
      </c>
      <c r="G117" s="356">
        <f>F117+D117</f>
        <v>7025800</v>
      </c>
      <c r="H117" s="339"/>
    </row>
    <row r="118" spans="1:7" ht="98.25" customHeight="1">
      <c r="A118" s="340">
        <v>250500</v>
      </c>
      <c r="B118" s="357" t="s">
        <v>127</v>
      </c>
      <c r="C118" s="208"/>
      <c r="D118" s="354"/>
      <c r="E118" s="690" t="s">
        <v>204</v>
      </c>
      <c r="F118" s="358">
        <v>342000</v>
      </c>
      <c r="G118" s="359">
        <f>SUM(D118+F118)</f>
        <v>342000</v>
      </c>
    </row>
    <row r="119" spans="1:7" ht="98.25" customHeight="1" thickBot="1">
      <c r="A119" s="340">
        <v>150202</v>
      </c>
      <c r="B119" s="235" t="s">
        <v>802</v>
      </c>
      <c r="C119" s="208"/>
      <c r="D119" s="354"/>
      <c r="E119" s="690"/>
      <c r="F119" s="358">
        <v>377325</v>
      </c>
      <c r="G119" s="359">
        <f>SUM(F119)</f>
        <v>377325</v>
      </c>
    </row>
    <row r="120" spans="1:7" ht="98.25" customHeight="1" thickBot="1">
      <c r="A120" s="360">
        <v>220200</v>
      </c>
      <c r="B120" s="361" t="s">
        <v>183</v>
      </c>
      <c r="C120" s="208"/>
      <c r="D120" s="354"/>
      <c r="E120" s="690"/>
      <c r="F120" s="358">
        <f>2459-2459</f>
        <v>0</v>
      </c>
      <c r="G120" s="359">
        <f>SUM(F120)</f>
        <v>0</v>
      </c>
    </row>
    <row r="121" spans="1:7" ht="51.75" customHeight="1">
      <c r="A121" s="340">
        <v>160101</v>
      </c>
      <c r="B121" s="334" t="s">
        <v>124</v>
      </c>
      <c r="C121" s="208"/>
      <c r="D121" s="354"/>
      <c r="E121" s="690"/>
      <c r="F121" s="358">
        <v>41800</v>
      </c>
      <c r="G121" s="359">
        <f>SUM(D121+F121)</f>
        <v>41800</v>
      </c>
    </row>
    <row r="122" spans="1:7" ht="97.5" customHeight="1">
      <c r="A122" s="691">
        <v>240900</v>
      </c>
      <c r="B122" s="692" t="s">
        <v>189</v>
      </c>
      <c r="C122" s="316"/>
      <c r="D122" s="352"/>
      <c r="E122" s="690"/>
      <c r="F122" s="362">
        <f>5934079-3385473</f>
        <v>2548606</v>
      </c>
      <c r="G122" s="359">
        <f>SUM(D122+F122)</f>
        <v>2548606</v>
      </c>
    </row>
    <row r="123" spans="1:7" ht="145.5" customHeight="1">
      <c r="A123" s="691"/>
      <c r="B123" s="692"/>
      <c r="C123" s="316"/>
      <c r="D123" s="352"/>
      <c r="E123" s="363" t="s">
        <v>205</v>
      </c>
      <c r="F123" s="362">
        <v>440800</v>
      </c>
      <c r="G123" s="359">
        <f>SUM(D123+F123)</f>
        <v>440800</v>
      </c>
    </row>
    <row r="124" spans="1:7" ht="156" customHeight="1">
      <c r="A124" s="691"/>
      <c r="B124" s="692"/>
      <c r="C124" s="316"/>
      <c r="D124" s="352"/>
      <c r="E124" s="363" t="s">
        <v>206</v>
      </c>
      <c r="F124" s="362">
        <v>298376</v>
      </c>
      <c r="G124" s="359">
        <f>SUM(D124+F124)</f>
        <v>298376</v>
      </c>
    </row>
    <row r="125" spans="1:7" ht="215.25" customHeight="1">
      <c r="A125" s="691"/>
      <c r="B125" s="692"/>
      <c r="C125" s="316"/>
      <c r="D125" s="352"/>
      <c r="E125" s="318" t="s">
        <v>84</v>
      </c>
      <c r="F125" s="362">
        <v>10000</v>
      </c>
      <c r="G125" s="359">
        <f>SUM(D125+F125)</f>
        <v>10000</v>
      </c>
    </row>
    <row r="126" spans="1:7" ht="156" customHeight="1">
      <c r="A126" s="691"/>
      <c r="B126" s="692"/>
      <c r="C126" s="316"/>
      <c r="D126" s="352"/>
      <c r="E126" s="363" t="s">
        <v>202</v>
      </c>
      <c r="F126" s="362">
        <v>1155872</v>
      </c>
      <c r="G126" s="359">
        <f>SUM(F126)</f>
        <v>1155872</v>
      </c>
    </row>
    <row r="127" spans="1:7" ht="156" customHeight="1">
      <c r="A127" s="340">
        <v>150202</v>
      </c>
      <c r="B127" s="235" t="s">
        <v>802</v>
      </c>
      <c r="C127" s="316"/>
      <c r="D127" s="352"/>
      <c r="E127" s="363" t="s">
        <v>205</v>
      </c>
      <c r="F127" s="362">
        <f>101021+1710000</f>
        <v>1811021</v>
      </c>
      <c r="G127" s="359">
        <f>SUM(D127+F127)</f>
        <v>1811021</v>
      </c>
    </row>
    <row r="128" spans="1:8" ht="147.75" customHeight="1">
      <c r="A128" s="348">
        <v>68</v>
      </c>
      <c r="B128" s="336" t="s">
        <v>559</v>
      </c>
      <c r="C128" s="355"/>
      <c r="D128" s="349">
        <f>SUM(D129:D130)</f>
        <v>191</v>
      </c>
      <c r="E128" s="356"/>
      <c r="F128" s="364">
        <f>SUM(F131)</f>
        <v>167200</v>
      </c>
      <c r="G128" s="364">
        <f>D128+F128</f>
        <v>167391</v>
      </c>
      <c r="H128" s="339"/>
    </row>
    <row r="129" spans="1:7" ht="125.25" customHeight="1">
      <c r="A129" s="350">
        <v>210106</v>
      </c>
      <c r="B129" s="326" t="s">
        <v>585</v>
      </c>
      <c r="C129" s="316" t="s">
        <v>207</v>
      </c>
      <c r="D129" s="352">
        <f>87031-86900</f>
        <v>131</v>
      </c>
      <c r="E129" s="365"/>
      <c r="F129" s="365"/>
      <c r="G129" s="359">
        <f>SUM(D129+F129)</f>
        <v>131</v>
      </c>
    </row>
    <row r="130" spans="1:7" ht="225.75" customHeight="1">
      <c r="A130" s="350">
        <v>210107</v>
      </c>
      <c r="B130" s="366" t="s">
        <v>315</v>
      </c>
      <c r="C130" s="316" t="s">
        <v>86</v>
      </c>
      <c r="D130" s="352">
        <f>161660-131100-30500</f>
        <v>60</v>
      </c>
      <c r="E130" s="365"/>
      <c r="F130" s="365"/>
      <c r="G130" s="359">
        <f>SUM(D130+F130)</f>
        <v>60</v>
      </c>
    </row>
    <row r="131" spans="1:7" ht="185.25" customHeight="1">
      <c r="A131" s="317">
        <v>240900</v>
      </c>
      <c r="B131" s="252" t="s">
        <v>189</v>
      </c>
      <c r="C131" s="316"/>
      <c r="D131" s="352"/>
      <c r="E131" s="323" t="s">
        <v>207</v>
      </c>
      <c r="F131" s="365">
        <v>167200</v>
      </c>
      <c r="G131" s="359">
        <f>SUM(F131)</f>
        <v>167200</v>
      </c>
    </row>
    <row r="132" spans="1:8" ht="96.75" customHeight="1">
      <c r="A132" s="348" t="s">
        <v>208</v>
      </c>
      <c r="B132" s="367" t="s">
        <v>595</v>
      </c>
      <c r="C132" s="335"/>
      <c r="D132" s="349">
        <f>SUM(D133)</f>
        <v>660</v>
      </c>
      <c r="E132" s="349"/>
      <c r="F132" s="349">
        <f>SUM(F133:F134)</f>
        <v>449312</v>
      </c>
      <c r="G132" s="349">
        <f>D132+F132</f>
        <v>449972</v>
      </c>
      <c r="H132" s="339"/>
    </row>
    <row r="133" spans="1:8" ht="135.75" customHeight="1">
      <c r="A133" s="340">
        <v>180410</v>
      </c>
      <c r="B133" s="317" t="s">
        <v>318</v>
      </c>
      <c r="C133" s="317" t="s">
        <v>209</v>
      </c>
      <c r="D133" s="351">
        <f>451820-451160</f>
        <v>660</v>
      </c>
      <c r="E133" s="354"/>
      <c r="F133" s="354"/>
      <c r="G133" s="354">
        <f>D133+F133</f>
        <v>660</v>
      </c>
      <c r="H133" s="339"/>
    </row>
    <row r="134" spans="1:8" ht="218.25" customHeight="1">
      <c r="A134" s="317">
        <v>240900</v>
      </c>
      <c r="B134" s="252" t="s">
        <v>189</v>
      </c>
      <c r="C134" s="317"/>
      <c r="D134" s="354"/>
      <c r="E134" s="318" t="s">
        <v>84</v>
      </c>
      <c r="F134" s="351">
        <v>449312</v>
      </c>
      <c r="G134" s="354">
        <f>F134</f>
        <v>449312</v>
      </c>
      <c r="H134" s="339"/>
    </row>
    <row r="135" spans="1:8" ht="78.75" customHeight="1">
      <c r="A135" s="368">
        <v>32</v>
      </c>
      <c r="B135" s="369" t="s">
        <v>210</v>
      </c>
      <c r="C135" s="337"/>
      <c r="D135" s="349">
        <f>SUM(D136)</f>
        <v>167820</v>
      </c>
      <c r="E135" s="356"/>
      <c r="F135" s="364">
        <f>SUM(F137:F138)</f>
        <v>1230526</v>
      </c>
      <c r="G135" s="349">
        <f>D135+F135</f>
        <v>1398346</v>
      </c>
      <c r="H135" s="315"/>
    </row>
    <row r="136" spans="1:7" s="346" customFormat="1" ht="141" customHeight="1">
      <c r="A136" s="317">
        <v>180404</v>
      </c>
      <c r="B136" s="252" t="s">
        <v>335</v>
      </c>
      <c r="C136" s="317" t="s">
        <v>211</v>
      </c>
      <c r="D136" s="318">
        <f>220020-52200</f>
        <v>167820</v>
      </c>
      <c r="E136" s="370"/>
      <c r="F136" s="371"/>
      <c r="G136" s="323">
        <f>SUM(D136+F136)</f>
        <v>167820</v>
      </c>
    </row>
    <row r="137" spans="1:7" s="346" customFormat="1" ht="204.75" customHeight="1">
      <c r="A137" s="692">
        <v>240900</v>
      </c>
      <c r="B137" s="692" t="s">
        <v>189</v>
      </c>
      <c r="C137" s="317"/>
      <c r="D137" s="318"/>
      <c r="E137" s="318" t="s">
        <v>84</v>
      </c>
      <c r="F137" s="371">
        <f>190000-105000</f>
        <v>85000</v>
      </c>
      <c r="G137" s="323">
        <f>SUM(F137)</f>
        <v>85000</v>
      </c>
    </row>
    <row r="138" spans="1:7" s="346" customFormat="1" ht="141" customHeight="1">
      <c r="A138" s="692"/>
      <c r="B138" s="692"/>
      <c r="C138" s="317"/>
      <c r="D138" s="318"/>
      <c r="E138" s="318" t="s">
        <v>211</v>
      </c>
      <c r="F138" s="371">
        <v>1145526</v>
      </c>
      <c r="G138" s="323">
        <f>SUM(F138)</f>
        <v>1145526</v>
      </c>
    </row>
    <row r="139" spans="1:8" ht="85.5" customHeight="1">
      <c r="A139" s="348">
        <v>75</v>
      </c>
      <c r="B139" s="369" t="s">
        <v>693</v>
      </c>
      <c r="C139" s="337"/>
      <c r="D139" s="349">
        <f>SUM(D140:D141)</f>
        <v>1558600</v>
      </c>
      <c r="E139" s="356"/>
      <c r="F139" s="349">
        <f>SUM(F140:F141)</f>
        <v>0</v>
      </c>
      <c r="G139" s="349">
        <f>SUM(G140:G141)</f>
        <v>1558600</v>
      </c>
      <c r="H139" s="339"/>
    </row>
    <row r="140" spans="1:7" ht="235.5" customHeight="1">
      <c r="A140" s="340">
        <v>180410</v>
      </c>
      <c r="B140" s="292" t="s">
        <v>318</v>
      </c>
      <c r="C140" s="317" t="s">
        <v>84</v>
      </c>
      <c r="D140" s="323">
        <f>171000+300000+842500</f>
        <v>1313500</v>
      </c>
      <c r="E140" s="372"/>
      <c r="F140" s="373"/>
      <c r="G140" s="359">
        <f>SUM(D140+F140)</f>
        <v>1313500</v>
      </c>
    </row>
    <row r="141" spans="1:8" ht="149.25" customHeight="1">
      <c r="A141" s="350">
        <v>210106</v>
      </c>
      <c r="B141" s="366" t="s">
        <v>585</v>
      </c>
      <c r="C141" s="316" t="s">
        <v>207</v>
      </c>
      <c r="D141" s="352">
        <v>245100</v>
      </c>
      <c r="E141" s="365"/>
      <c r="F141" s="365"/>
      <c r="G141" s="359">
        <f>SUM(D141+F141)</f>
        <v>245100</v>
      </c>
      <c r="H141" s="306"/>
    </row>
    <row r="142" spans="1:10" ht="45" customHeight="1">
      <c r="A142" s="348" t="s">
        <v>495</v>
      </c>
      <c r="B142" s="348"/>
      <c r="C142" s="348"/>
      <c r="D142" s="349">
        <f>SUM(D11+D26+D45+D52+D64+D72+D81+D84+D97+D104+D110+D117+D128+D132+D135+D139)</f>
        <v>165449519.09</v>
      </c>
      <c r="E142" s="349"/>
      <c r="F142" s="349">
        <f>SUM(F11+F26+F45+F52+F64+F72+F81+F84+F97+F104+F110+F117+F128+F132+F135+F139)</f>
        <v>214488572</v>
      </c>
      <c r="G142" s="349">
        <f>D142+F142</f>
        <v>379938091.09000003</v>
      </c>
      <c r="H142" s="315">
        <f>SUM(G11+G26+G45+G52+G64+G72+G81+G84+G97+G104+G110+G117+G128+G132+G135+G139)</f>
        <v>379938091.09000003</v>
      </c>
      <c r="I142" s="689"/>
      <c r="J142" s="689"/>
    </row>
    <row r="143" spans="7:8" ht="34.5">
      <c r="G143" s="374"/>
      <c r="H143" s="306"/>
    </row>
    <row r="144" ht="34.5">
      <c r="F144" s="315"/>
    </row>
    <row r="145" spans="6:8" ht="34.5">
      <c r="F145" s="315"/>
      <c r="G145" s="374"/>
      <c r="H145" s="375"/>
    </row>
    <row r="146" spans="6:8" ht="34.5">
      <c r="F146" s="315"/>
      <c r="G146" s="374">
        <f>SUM(D142+F142)</f>
        <v>379938091.09000003</v>
      </c>
      <c r="H146" s="375"/>
    </row>
    <row r="147" spans="6:8" ht="34.5">
      <c r="F147" s="315"/>
      <c r="G147" s="374">
        <f>SUM(G11+G26+G45+G52+G64+G72+G81+G84+G97+G104+G110+G117+G128+G132+G135+G139)</f>
        <v>379938091.09000003</v>
      </c>
      <c r="H147" s="375"/>
    </row>
    <row r="148" spans="6:8" ht="34.5">
      <c r="F148" s="315"/>
      <c r="G148" s="374"/>
      <c r="H148" s="375"/>
    </row>
  </sheetData>
  <mergeCells count="52">
    <mergeCell ref="B7:E7"/>
    <mergeCell ref="C9:D9"/>
    <mergeCell ref="E9:F9"/>
    <mergeCell ref="C12:C13"/>
    <mergeCell ref="C14:C15"/>
    <mergeCell ref="A19:A21"/>
    <mergeCell ref="B19:B21"/>
    <mergeCell ref="A23:A24"/>
    <mergeCell ref="B23:B24"/>
    <mergeCell ref="C27:C37"/>
    <mergeCell ref="A40:A42"/>
    <mergeCell ref="B40:B42"/>
    <mergeCell ref="C46:C48"/>
    <mergeCell ref="A48:A49"/>
    <mergeCell ref="B48:B49"/>
    <mergeCell ref="D48:D49"/>
    <mergeCell ref="E48:E49"/>
    <mergeCell ref="F48:F49"/>
    <mergeCell ref="G48:G49"/>
    <mergeCell ref="A50:A51"/>
    <mergeCell ref="B50:B51"/>
    <mergeCell ref="C54:C60"/>
    <mergeCell ref="A61:A63"/>
    <mergeCell ref="B61:B63"/>
    <mergeCell ref="C65:C68"/>
    <mergeCell ref="A70:A71"/>
    <mergeCell ref="B70:B71"/>
    <mergeCell ref="C73:C77"/>
    <mergeCell ref="E73:E76"/>
    <mergeCell ref="E78:E79"/>
    <mergeCell ref="A79:A80"/>
    <mergeCell ref="B79:B80"/>
    <mergeCell ref="C82:C83"/>
    <mergeCell ref="C85:C86"/>
    <mergeCell ref="E87:E89"/>
    <mergeCell ref="A89:A94"/>
    <mergeCell ref="B89:B94"/>
    <mergeCell ref="A95:A96"/>
    <mergeCell ref="B95:B96"/>
    <mergeCell ref="C98:C100"/>
    <mergeCell ref="A102:A103"/>
    <mergeCell ref="B102:B103"/>
    <mergeCell ref="A105:A109"/>
    <mergeCell ref="B105:B109"/>
    <mergeCell ref="A113:A115"/>
    <mergeCell ref="B113:B115"/>
    <mergeCell ref="I142:J142"/>
    <mergeCell ref="E118:E122"/>
    <mergeCell ref="A122:A126"/>
    <mergeCell ref="B122:B126"/>
    <mergeCell ref="A137:A138"/>
    <mergeCell ref="B137:B138"/>
  </mergeCells>
  <printOptions/>
  <pageMargins left="0.16" right="0.19" top="0.23" bottom="0.15" header="0.22" footer="0.15"/>
  <pageSetup fitToWidth="9" horizontalDpi="600" verticalDpi="600" orientation="landscape" paperSize="9" scale="23"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2014-12-30T10:22:29Z</cp:lastPrinted>
  <dcterms:created xsi:type="dcterms:W3CDTF">1996-10-08T23:32:33Z</dcterms:created>
  <dcterms:modified xsi:type="dcterms:W3CDTF">2014-12-30T10:23:22Z</dcterms:modified>
  <cp:category/>
  <cp:version/>
  <cp:contentType/>
  <cp:contentStatus/>
</cp:coreProperties>
</file>